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iovanna-lc\Desktop\INVENTÁRIOS ANUAIS\INVENTÁRIO DE 2023 PROCESSO 202312404000826\"/>
    </mc:Choice>
  </mc:AlternateContent>
  <xr:revisionPtr revIDLastSave="0" documentId="8_{4C3C74E4-6505-4826-BABC-AC40F3799CC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nalítica - Imóveis Estaduais" sheetId="1" r:id="rId1"/>
    <sheet name="Analítica - Imóveis recebidos e" sheetId="2" r:id="rId2"/>
    <sheet name="Analítica - Imóveis Próprios" sheetId="3" r:id="rId3"/>
    <sheet name="Analítica - Imóveis Próprios Ce" sheetId="4" r:id="rId4"/>
    <sheet name="Obras em Andamento" sheetId="5" r:id="rId5"/>
    <sheet name="Sintética 20222023" sheetId="6" r:id="rId6"/>
    <sheet name="APOIO" sheetId="7" r:id="rId7"/>
    <sheet name="Arquivo para SCG" sheetId="8" state="hidden" r:id="rId8"/>
    <sheet name="Sintética 2022" sheetId="9" state="hidden" r:id="rId9"/>
    <sheet name="MOVIMENTAÇÃO DE IMÓVEIS - CONTA" sheetId="10" r:id="rId10"/>
  </sheets>
  <definedNames>
    <definedName name="_xlnm._FilterDatabase" localSheetId="0" hidden="1">'Analítica - Imóveis Estaduais'!$A$1:$AR$2</definedName>
    <definedName name="_xlnm._FilterDatabase" localSheetId="2" hidden="1">'Analítica - Imóveis Próprios'!$A$1:$AD$61</definedName>
    <definedName name="_xlnm._FilterDatabase" localSheetId="3" hidden="1">'Analítica - Imóveis Próprios Ce'!$A$1:$W$3</definedName>
    <definedName name="_xlnm._FilterDatabase" localSheetId="1" hidden="1">'Analítica - Imóveis recebidos e'!$A$1:$AI$3</definedName>
    <definedName name="_xlnm._FilterDatabase" localSheetId="7" hidden="1">'Arquivo para SCG'!$A$1:$F$126</definedName>
    <definedName name="_xlnm._FilterDatabase" localSheetId="9" hidden="1">'MOVIMENTAÇÃO DE IMÓVEIS - CONTA'!$A$1:$Q$2</definedName>
    <definedName name="Z_B55C095A_C9F5_4D0E_8B6D_CF5BAB6A999A_.wvu.FilterData" localSheetId="9" hidden="1">'MOVIMENTAÇÃO DE IMÓVEIS - CONTA'!$A$1:$Q$2</definedName>
    <definedName name="Z_D7E55EF0_E3DF_4F38_9DA7_A8DD2471767F_.wvu.FilterData" localSheetId="2" hidden="1">'Analítica - Imóveis Próprios'!$A$1:$AD$55</definedName>
  </definedNames>
  <calcPr calcId="191029"/>
  <customWorkbookViews>
    <customWorkbookView name="Filtro 1" guid="{D7E55EF0-E3DF-4F38-9DA7-A8DD2471767F}" maximized="1" windowWidth="0" windowHeight="0" activeSheetId="0"/>
    <customWorkbookView name="ÓRGÃOS" guid="{B55C095A-C9F5-4D0E-8B6D-CF5BAB6A999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F9" i="9"/>
  <c r="E9" i="9"/>
  <c r="D9" i="9"/>
  <c r="C9" i="9"/>
  <c r="B9" i="9"/>
  <c r="A9" i="9"/>
  <c r="G8" i="9"/>
  <c r="F8" i="9"/>
  <c r="E8" i="9"/>
  <c r="D8" i="9"/>
  <c r="C8" i="9"/>
  <c r="B8" i="9"/>
  <c r="A8" i="9"/>
  <c r="G7" i="9"/>
  <c r="F7" i="9"/>
  <c r="D7" i="9"/>
  <c r="C7" i="9"/>
  <c r="B7" i="9"/>
  <c r="A7" i="9"/>
  <c r="G6" i="9"/>
  <c r="F6" i="9"/>
  <c r="D6" i="9"/>
  <c r="C6" i="9"/>
  <c r="B6" i="9"/>
  <c r="A6" i="9"/>
  <c r="G5" i="9"/>
  <c r="F5" i="9"/>
  <c r="D5" i="9"/>
  <c r="C5" i="9"/>
  <c r="B5" i="9"/>
  <c r="A5" i="9"/>
  <c r="G4" i="9"/>
  <c r="F4" i="9"/>
  <c r="E4" i="9"/>
  <c r="D4" i="9"/>
  <c r="C4" i="9"/>
  <c r="B4" i="9"/>
  <c r="A4" i="9"/>
  <c r="G3" i="9"/>
  <c r="F3" i="9"/>
  <c r="E3" i="9"/>
  <c r="D3" i="9"/>
  <c r="C3" i="9"/>
  <c r="B3" i="9"/>
  <c r="A3" i="9"/>
  <c r="G2" i="9"/>
  <c r="F2" i="9"/>
  <c r="E2" i="9"/>
  <c r="D2" i="9"/>
  <c r="C2" i="9"/>
  <c r="B2" i="9"/>
  <c r="A2" i="9"/>
  <c r="G1" i="9"/>
  <c r="F1" i="9"/>
  <c r="E1" i="9"/>
  <c r="D1" i="9"/>
  <c r="C1" i="9"/>
  <c r="B1" i="9"/>
  <c r="A1" i="9"/>
  <c r="D129" i="8"/>
  <c r="C129" i="8"/>
  <c r="D128" i="8"/>
  <c r="C128" i="8"/>
  <c r="D127" i="8"/>
  <c r="C127" i="8"/>
  <c r="D126" i="8"/>
  <c r="C126" i="8"/>
  <c r="D125" i="8"/>
  <c r="C125" i="8"/>
  <c r="D124" i="8"/>
  <c r="C124" i="8"/>
  <c r="D123" i="8"/>
  <c r="C123" i="8"/>
  <c r="D122" i="8"/>
  <c r="C122" i="8"/>
  <c r="D121" i="8"/>
  <c r="C121" i="8"/>
  <c r="D120" i="8"/>
  <c r="C120" i="8"/>
  <c r="D119" i="8"/>
  <c r="C119" i="8"/>
  <c r="D118" i="8"/>
  <c r="C118" i="8"/>
  <c r="D117" i="8"/>
  <c r="C117" i="8"/>
  <c r="D116" i="8"/>
  <c r="C116" i="8"/>
  <c r="D115" i="8"/>
  <c r="C115" i="8"/>
  <c r="D114" i="8"/>
  <c r="C114" i="8"/>
  <c r="D113" i="8"/>
  <c r="C113" i="8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" i="8"/>
  <c r="C2" i="8"/>
  <c r="A2" i="8"/>
  <c r="I8" i="6"/>
  <c r="H8" i="6"/>
  <c r="G8" i="6"/>
  <c r="F8" i="6"/>
  <c r="E8" i="6"/>
  <c r="D8" i="6"/>
  <c r="C8" i="6"/>
  <c r="B8" i="6"/>
  <c r="A8" i="6"/>
  <c r="I7" i="6"/>
  <c r="H7" i="6"/>
  <c r="F7" i="6"/>
  <c r="E7" i="6"/>
  <c r="D7" i="6"/>
  <c r="C7" i="6"/>
  <c r="B7" i="6"/>
  <c r="A7" i="6"/>
  <c r="G7" i="6" s="1"/>
  <c r="I6" i="6"/>
  <c r="H6" i="6"/>
  <c r="F6" i="6"/>
  <c r="E6" i="6"/>
  <c r="D6" i="6"/>
  <c r="C6" i="6"/>
  <c r="B6" i="6"/>
  <c r="A6" i="6"/>
  <c r="G6" i="6" s="1"/>
  <c r="I5" i="6"/>
  <c r="H5" i="6"/>
  <c r="F5" i="6"/>
  <c r="E5" i="6"/>
  <c r="D5" i="6"/>
  <c r="C5" i="6"/>
  <c r="B5" i="6"/>
  <c r="A5" i="6"/>
  <c r="G5" i="6" s="1"/>
  <c r="I4" i="6"/>
  <c r="H4" i="6"/>
  <c r="G4" i="6"/>
  <c r="F4" i="6"/>
  <c r="E4" i="6"/>
  <c r="D4" i="6"/>
  <c r="C4" i="6"/>
  <c r="B4" i="6"/>
  <c r="A4" i="6"/>
  <c r="I3" i="6"/>
  <c r="H3" i="6"/>
  <c r="F3" i="6"/>
  <c r="E3" i="6"/>
  <c r="D3" i="6"/>
  <c r="C3" i="6"/>
  <c r="B3" i="6"/>
  <c r="A3" i="6"/>
  <c r="G3" i="6" s="1"/>
  <c r="I2" i="6"/>
  <c r="H2" i="6"/>
  <c r="F2" i="6"/>
  <c r="E2" i="6"/>
  <c r="D2" i="6"/>
  <c r="C2" i="6"/>
  <c r="B2" i="6"/>
  <c r="A2" i="6"/>
  <c r="G2" i="6" s="1"/>
  <c r="B4" i="5"/>
  <c r="A4" i="5"/>
  <c r="B3" i="5"/>
  <c r="A3" i="5"/>
  <c r="B2" i="5"/>
  <c r="A2" i="5"/>
  <c r="W3" i="4"/>
  <c r="U3" i="4"/>
  <c r="S3" i="4"/>
  <c r="R3" i="4"/>
  <c r="A3" i="4"/>
  <c r="W2" i="4"/>
  <c r="U2" i="4"/>
  <c r="S2" i="4"/>
  <c r="R2" i="4"/>
  <c r="A2" i="4"/>
  <c r="AC61" i="3"/>
  <c r="X61" i="3"/>
  <c r="O61" i="3"/>
  <c r="M61" i="3"/>
  <c r="L61" i="3"/>
  <c r="A61" i="3"/>
  <c r="AC60" i="3"/>
  <c r="X60" i="3"/>
  <c r="O60" i="3"/>
  <c r="M60" i="3"/>
  <c r="L60" i="3"/>
  <c r="A60" i="3"/>
  <c r="AC59" i="3"/>
  <c r="Y59" i="3"/>
  <c r="X59" i="3"/>
  <c r="O59" i="3"/>
  <c r="AA59" i="3" s="1"/>
  <c r="M59" i="3"/>
  <c r="L59" i="3"/>
  <c r="A59" i="3"/>
  <c r="AC58" i="3"/>
  <c r="X58" i="3"/>
  <c r="O58" i="3"/>
  <c r="Y58" i="3" s="1"/>
  <c r="M58" i="3"/>
  <c r="L58" i="3"/>
  <c r="A58" i="3"/>
  <c r="AC57" i="3"/>
  <c r="X57" i="3"/>
  <c r="O57" i="3"/>
  <c r="Y57" i="3" s="1"/>
  <c r="M57" i="3"/>
  <c r="L57" i="3"/>
  <c r="A57" i="3"/>
  <c r="AC56" i="3"/>
  <c r="X56" i="3"/>
  <c r="O56" i="3"/>
  <c r="M56" i="3"/>
  <c r="L56" i="3"/>
  <c r="A56" i="3"/>
  <c r="AC55" i="3"/>
  <c r="AA55" i="3"/>
  <c r="Y55" i="3"/>
  <c r="Z55" i="3" s="1"/>
  <c r="AB55" i="3" s="1"/>
  <c r="X55" i="3"/>
  <c r="O55" i="3"/>
  <c r="M55" i="3"/>
  <c r="L55" i="3"/>
  <c r="A55" i="3"/>
  <c r="AC54" i="3"/>
  <c r="X54" i="3"/>
  <c r="O54" i="3"/>
  <c r="M54" i="3"/>
  <c r="L54" i="3"/>
  <c r="A54" i="3"/>
  <c r="AC53" i="3"/>
  <c r="Y53" i="3"/>
  <c r="Z53" i="3" s="1"/>
  <c r="AB53" i="3" s="1"/>
  <c r="X53" i="3"/>
  <c r="O53" i="3"/>
  <c r="AA53" i="3" s="1"/>
  <c r="M53" i="3"/>
  <c r="L53" i="3"/>
  <c r="A53" i="3"/>
  <c r="AC52" i="3"/>
  <c r="Y52" i="3"/>
  <c r="AA52" i="3" s="1"/>
  <c r="X52" i="3"/>
  <c r="O52" i="3"/>
  <c r="Z52" i="3" s="1"/>
  <c r="AB52" i="3" s="1"/>
  <c r="AD52" i="3" s="1"/>
  <c r="M52" i="3"/>
  <c r="L52" i="3"/>
  <c r="A52" i="3"/>
  <c r="AC51" i="3"/>
  <c r="X51" i="3"/>
  <c r="O51" i="3"/>
  <c r="M51" i="3"/>
  <c r="L51" i="3"/>
  <c r="A51" i="3"/>
  <c r="AC50" i="3"/>
  <c r="X50" i="3"/>
  <c r="O50" i="3"/>
  <c r="M50" i="3"/>
  <c r="L50" i="3"/>
  <c r="A50" i="3"/>
  <c r="AC49" i="3"/>
  <c r="AA49" i="3"/>
  <c r="Y49" i="3"/>
  <c r="X49" i="3"/>
  <c r="O49" i="3"/>
  <c r="Z49" i="3" s="1"/>
  <c r="AB49" i="3" s="1"/>
  <c r="AD49" i="3" s="1"/>
  <c r="M49" i="3"/>
  <c r="L49" i="3"/>
  <c r="A49" i="3"/>
  <c r="AC48" i="3"/>
  <c r="X48" i="3"/>
  <c r="O48" i="3"/>
  <c r="M48" i="3"/>
  <c r="L48" i="3"/>
  <c r="A48" i="3"/>
  <c r="AC47" i="3"/>
  <c r="Y47" i="3"/>
  <c r="Z47" i="3" s="1"/>
  <c r="AB47" i="3" s="1"/>
  <c r="AD47" i="3" s="1"/>
  <c r="X47" i="3"/>
  <c r="O47" i="3"/>
  <c r="AA47" i="3" s="1"/>
  <c r="M47" i="3"/>
  <c r="L47" i="3"/>
  <c r="A47" i="3"/>
  <c r="AC46" i="3"/>
  <c r="AA46" i="3"/>
  <c r="Y46" i="3"/>
  <c r="X46" i="3"/>
  <c r="O46" i="3"/>
  <c r="Z46" i="3" s="1"/>
  <c r="AB46" i="3" s="1"/>
  <c r="M46" i="3"/>
  <c r="L46" i="3"/>
  <c r="A46" i="3"/>
  <c r="AC45" i="3"/>
  <c r="X45" i="3"/>
  <c r="O45" i="3"/>
  <c r="Y45" i="3" s="1"/>
  <c r="M45" i="3"/>
  <c r="L45" i="3"/>
  <c r="A45" i="3"/>
  <c r="AC44" i="3"/>
  <c r="Y44" i="3"/>
  <c r="X44" i="3"/>
  <c r="O44" i="3"/>
  <c r="AA44" i="3" s="1"/>
  <c r="M44" i="3"/>
  <c r="L44" i="3"/>
  <c r="A44" i="3"/>
  <c r="AC43" i="3"/>
  <c r="AA43" i="3"/>
  <c r="Y43" i="3"/>
  <c r="Z43" i="3" s="1"/>
  <c r="AB43" i="3" s="1"/>
  <c r="X43" i="3"/>
  <c r="O43" i="3"/>
  <c r="M43" i="3"/>
  <c r="L43" i="3"/>
  <c r="A43" i="3"/>
  <c r="AC42" i="3"/>
  <c r="X42" i="3"/>
  <c r="O42" i="3"/>
  <c r="M42" i="3"/>
  <c r="L42" i="3"/>
  <c r="A42" i="3"/>
  <c r="AC41" i="3"/>
  <c r="Y41" i="3"/>
  <c r="Z41" i="3" s="1"/>
  <c r="X41" i="3"/>
  <c r="O41" i="3"/>
  <c r="AA41" i="3" s="1"/>
  <c r="M41" i="3"/>
  <c r="L41" i="3"/>
  <c r="A41" i="3"/>
  <c r="AC40" i="3"/>
  <c r="Y40" i="3"/>
  <c r="AA40" i="3" s="1"/>
  <c r="X40" i="3"/>
  <c r="O40" i="3"/>
  <c r="Z40" i="3" s="1"/>
  <c r="AB40" i="3" s="1"/>
  <c r="AD40" i="3" s="1"/>
  <c r="M40" i="3"/>
  <c r="L40" i="3"/>
  <c r="A40" i="3"/>
  <c r="AC39" i="3"/>
  <c r="X39" i="3"/>
  <c r="O39" i="3"/>
  <c r="M39" i="3"/>
  <c r="L39" i="3"/>
  <c r="A39" i="3"/>
  <c r="AC38" i="3"/>
  <c r="X38" i="3"/>
  <c r="O38" i="3"/>
  <c r="M38" i="3"/>
  <c r="L38" i="3"/>
  <c r="A38" i="3"/>
  <c r="AC37" i="3"/>
  <c r="AA37" i="3"/>
  <c r="Y37" i="3"/>
  <c r="X37" i="3"/>
  <c r="O37" i="3"/>
  <c r="Z37" i="3" s="1"/>
  <c r="AB37" i="3" s="1"/>
  <c r="AD37" i="3" s="1"/>
  <c r="M37" i="3"/>
  <c r="L37" i="3"/>
  <c r="A37" i="3"/>
  <c r="AC36" i="3"/>
  <c r="X36" i="3"/>
  <c r="O36" i="3"/>
  <c r="Y36" i="3" s="1"/>
  <c r="M36" i="3"/>
  <c r="L36" i="3"/>
  <c r="A36" i="3"/>
  <c r="AC35" i="3"/>
  <c r="Y35" i="3"/>
  <c r="Z35" i="3" s="1"/>
  <c r="X35" i="3"/>
  <c r="O35" i="3"/>
  <c r="AA35" i="3" s="1"/>
  <c r="M35" i="3"/>
  <c r="L35" i="3"/>
  <c r="A35" i="3"/>
  <c r="AC34" i="3"/>
  <c r="AA34" i="3"/>
  <c r="Y34" i="3"/>
  <c r="X34" i="3"/>
  <c r="O34" i="3"/>
  <c r="Z34" i="3" s="1"/>
  <c r="AB34" i="3" s="1"/>
  <c r="M34" i="3"/>
  <c r="L34" i="3"/>
  <c r="A34" i="3"/>
  <c r="AC33" i="3"/>
  <c r="X33" i="3"/>
  <c r="O33" i="3"/>
  <c r="Y33" i="3" s="1"/>
  <c r="M33" i="3"/>
  <c r="L33" i="3"/>
  <c r="A33" i="3"/>
  <c r="AC32" i="3"/>
  <c r="Y32" i="3"/>
  <c r="X32" i="3"/>
  <c r="O32" i="3"/>
  <c r="AA32" i="3" s="1"/>
  <c r="M32" i="3"/>
  <c r="L32" i="3"/>
  <c r="A32" i="3"/>
  <c r="AC31" i="3"/>
  <c r="AA31" i="3"/>
  <c r="Y31" i="3"/>
  <c r="Z31" i="3" s="1"/>
  <c r="AB31" i="3" s="1"/>
  <c r="X31" i="3"/>
  <c r="O31" i="3"/>
  <c r="M31" i="3"/>
  <c r="L31" i="3"/>
  <c r="A31" i="3"/>
  <c r="AC30" i="3"/>
  <c r="X30" i="3"/>
  <c r="O30" i="3"/>
  <c r="M30" i="3"/>
  <c r="L30" i="3"/>
  <c r="A30" i="3"/>
  <c r="AC29" i="3"/>
  <c r="Y29" i="3"/>
  <c r="Z29" i="3" s="1"/>
  <c r="X29" i="3"/>
  <c r="O29" i="3"/>
  <c r="AA29" i="3" s="1"/>
  <c r="M29" i="3"/>
  <c r="L29" i="3"/>
  <c r="A29" i="3"/>
  <c r="AC28" i="3"/>
  <c r="Y28" i="3"/>
  <c r="AA28" i="3" s="1"/>
  <c r="X28" i="3"/>
  <c r="O28" i="3"/>
  <c r="Z28" i="3" s="1"/>
  <c r="AB28" i="3" s="1"/>
  <c r="AD28" i="3" s="1"/>
  <c r="M28" i="3"/>
  <c r="L28" i="3"/>
  <c r="A28" i="3"/>
  <c r="AC27" i="3"/>
  <c r="X27" i="3"/>
  <c r="O27" i="3"/>
  <c r="M27" i="3"/>
  <c r="L27" i="3"/>
  <c r="A27" i="3"/>
  <c r="AC26" i="3"/>
  <c r="X26" i="3"/>
  <c r="O26" i="3"/>
  <c r="AA26" i="3" s="1"/>
  <c r="M26" i="3"/>
  <c r="L26" i="3"/>
  <c r="A26" i="3"/>
  <c r="AC25" i="3"/>
  <c r="AA25" i="3"/>
  <c r="Y25" i="3"/>
  <c r="Z25" i="3" s="1"/>
  <c r="AB25" i="3" s="1"/>
  <c r="AD25" i="3" s="1"/>
  <c r="X25" i="3"/>
  <c r="O25" i="3"/>
  <c r="M25" i="3"/>
  <c r="L25" i="3"/>
  <c r="A25" i="3"/>
  <c r="AC24" i="3"/>
  <c r="X24" i="3"/>
  <c r="O24" i="3"/>
  <c r="Y24" i="3" s="1"/>
  <c r="M24" i="3"/>
  <c r="L24" i="3"/>
  <c r="A24" i="3"/>
  <c r="AC23" i="3"/>
  <c r="Y23" i="3"/>
  <c r="Z23" i="3" s="1"/>
  <c r="AB23" i="3" s="1"/>
  <c r="AD23" i="3" s="1"/>
  <c r="X23" i="3"/>
  <c r="O23" i="3"/>
  <c r="AA23" i="3" s="1"/>
  <c r="M23" i="3"/>
  <c r="L23" i="3"/>
  <c r="A23" i="3"/>
  <c r="AC22" i="3"/>
  <c r="AA22" i="3"/>
  <c r="Y22" i="3"/>
  <c r="X22" i="3"/>
  <c r="AD22" i="3" s="1"/>
  <c r="O22" i="3"/>
  <c r="Z22" i="3" s="1"/>
  <c r="AB22" i="3" s="1"/>
  <c r="M22" i="3"/>
  <c r="L22" i="3"/>
  <c r="A22" i="3"/>
  <c r="AC21" i="3"/>
  <c r="X21" i="3"/>
  <c r="O21" i="3"/>
  <c r="Y21" i="3" s="1"/>
  <c r="M21" i="3"/>
  <c r="L21" i="3"/>
  <c r="A21" i="3"/>
  <c r="AC20" i="3"/>
  <c r="Y20" i="3"/>
  <c r="X20" i="3"/>
  <c r="O20" i="3"/>
  <c r="AA20" i="3" s="1"/>
  <c r="M20" i="3"/>
  <c r="L20" i="3"/>
  <c r="A20" i="3"/>
  <c r="AC19" i="3"/>
  <c r="AA19" i="3"/>
  <c r="Y19" i="3"/>
  <c r="Z19" i="3" s="1"/>
  <c r="AB19" i="3" s="1"/>
  <c r="X19" i="3"/>
  <c r="O19" i="3"/>
  <c r="M19" i="3"/>
  <c r="L19" i="3"/>
  <c r="A19" i="3"/>
  <c r="AC18" i="3"/>
  <c r="X18" i="3"/>
  <c r="O18" i="3"/>
  <c r="M18" i="3"/>
  <c r="L18" i="3"/>
  <c r="A18" i="3"/>
  <c r="AC17" i="3"/>
  <c r="Y17" i="3"/>
  <c r="Z17" i="3" s="1"/>
  <c r="AB17" i="3" s="1"/>
  <c r="X17" i="3"/>
  <c r="AD17" i="3" s="1"/>
  <c r="O17" i="3"/>
  <c r="AA17" i="3" s="1"/>
  <c r="M17" i="3"/>
  <c r="L17" i="3"/>
  <c r="A17" i="3"/>
  <c r="AC16" i="3"/>
  <c r="Y16" i="3"/>
  <c r="AA16" i="3" s="1"/>
  <c r="X16" i="3"/>
  <c r="O16" i="3"/>
  <c r="Z16" i="3" s="1"/>
  <c r="AB16" i="3" s="1"/>
  <c r="AD16" i="3" s="1"/>
  <c r="M16" i="3"/>
  <c r="L16" i="3"/>
  <c r="A16" i="3"/>
  <c r="AC15" i="3"/>
  <c r="X15" i="3"/>
  <c r="O15" i="3"/>
  <c r="M15" i="3"/>
  <c r="L15" i="3"/>
  <c r="A15" i="3"/>
  <c r="AC14" i="3"/>
  <c r="X14" i="3"/>
  <c r="O14" i="3"/>
  <c r="M14" i="3"/>
  <c r="L14" i="3"/>
  <c r="A14" i="3"/>
  <c r="AC13" i="3"/>
  <c r="AA13" i="3"/>
  <c r="Y13" i="3"/>
  <c r="Z13" i="3" s="1"/>
  <c r="AB13" i="3" s="1"/>
  <c r="AD13" i="3" s="1"/>
  <c r="X13" i="3"/>
  <c r="O13" i="3"/>
  <c r="M13" i="3"/>
  <c r="L13" i="3"/>
  <c r="A13" i="3"/>
  <c r="AC12" i="3"/>
  <c r="X12" i="3"/>
  <c r="O12" i="3"/>
  <c r="Y12" i="3" s="1"/>
  <c r="M12" i="3"/>
  <c r="L12" i="3"/>
  <c r="A12" i="3"/>
  <c r="AC11" i="3"/>
  <c r="Y11" i="3"/>
  <c r="Z11" i="3" s="1"/>
  <c r="X11" i="3"/>
  <c r="O11" i="3"/>
  <c r="AA11" i="3" s="1"/>
  <c r="M11" i="3"/>
  <c r="L11" i="3"/>
  <c r="A11" i="3"/>
  <c r="AC10" i="3"/>
  <c r="AA10" i="3"/>
  <c r="Y10" i="3"/>
  <c r="X10" i="3"/>
  <c r="AD10" i="3" s="1"/>
  <c r="O10" i="3"/>
  <c r="Z10" i="3" s="1"/>
  <c r="AB10" i="3" s="1"/>
  <c r="M10" i="3"/>
  <c r="L10" i="3"/>
  <c r="A10" i="3"/>
  <c r="AC9" i="3"/>
  <c r="X9" i="3"/>
  <c r="O9" i="3"/>
  <c r="Y9" i="3" s="1"/>
  <c r="M9" i="3"/>
  <c r="L9" i="3"/>
  <c r="A9" i="3"/>
  <c r="AC8" i="3"/>
  <c r="Y8" i="3"/>
  <c r="X8" i="3"/>
  <c r="O8" i="3"/>
  <c r="AA8" i="3" s="1"/>
  <c r="M8" i="3"/>
  <c r="L8" i="3"/>
  <c r="A8" i="3"/>
  <c r="AC7" i="3"/>
  <c r="AA7" i="3"/>
  <c r="Y7" i="3"/>
  <c r="Z7" i="3" s="1"/>
  <c r="AB7" i="3" s="1"/>
  <c r="X7" i="3"/>
  <c r="AD7" i="3" s="1"/>
  <c r="O7" i="3"/>
  <c r="M7" i="3"/>
  <c r="L7" i="3"/>
  <c r="A7" i="3"/>
  <c r="AC6" i="3"/>
  <c r="X6" i="3"/>
  <c r="O6" i="3"/>
  <c r="M6" i="3"/>
  <c r="L6" i="3"/>
  <c r="A6" i="3"/>
  <c r="AC5" i="3"/>
  <c r="Y5" i="3"/>
  <c r="Z5" i="3" s="1"/>
  <c r="AB5" i="3" s="1"/>
  <c r="X5" i="3"/>
  <c r="AD5" i="3" s="1"/>
  <c r="O5" i="3"/>
  <c r="AA5" i="3" s="1"/>
  <c r="M5" i="3"/>
  <c r="L5" i="3"/>
  <c r="A5" i="3"/>
  <c r="AC4" i="3"/>
  <c r="Y4" i="3"/>
  <c r="AA4" i="3" s="1"/>
  <c r="X4" i="3"/>
  <c r="O4" i="3"/>
  <c r="Z4" i="3" s="1"/>
  <c r="M4" i="3"/>
  <c r="L4" i="3"/>
  <c r="A4" i="3"/>
  <c r="AC3" i="3"/>
  <c r="X3" i="3"/>
  <c r="O3" i="3"/>
  <c r="M3" i="3"/>
  <c r="L3" i="3"/>
  <c r="A3" i="3"/>
  <c r="AC2" i="3"/>
  <c r="X2" i="3"/>
  <c r="O2" i="3"/>
  <c r="AA2" i="3" s="1"/>
  <c r="M2" i="3"/>
  <c r="L2" i="3"/>
  <c r="A2" i="3"/>
  <c r="AH3" i="2"/>
  <c r="AF3" i="2"/>
  <c r="AD3" i="2"/>
  <c r="AC3" i="2"/>
  <c r="T3" i="2"/>
  <c r="AE3" i="2" s="1"/>
  <c r="AG3" i="2" s="1"/>
  <c r="AI3" i="2" s="1"/>
  <c r="AH2" i="2"/>
  <c r="AC2" i="2"/>
  <c r="T2" i="2"/>
  <c r="AD2" i="2" s="1"/>
  <c r="R2" i="2"/>
  <c r="AQ2" i="1"/>
  <c r="AL2" i="1"/>
  <c r="AB2" i="1"/>
  <c r="AD55" i="3" l="1"/>
  <c r="AA6" i="3"/>
  <c r="AA27" i="3"/>
  <c r="AD34" i="3"/>
  <c r="AB11" i="3"/>
  <c r="AD11" i="3" s="1"/>
  <c r="AB41" i="3"/>
  <c r="AD41" i="3" s="1"/>
  <c r="AD43" i="3"/>
  <c r="Z61" i="3"/>
  <c r="AB61" i="3" s="1"/>
  <c r="AD61" i="3" s="1"/>
  <c r="AA36" i="3"/>
  <c r="Z36" i="3"/>
  <c r="AB36" i="3" s="1"/>
  <c r="AD36" i="3" s="1"/>
  <c r="AD29" i="3"/>
  <c r="AB29" i="3"/>
  <c r="AD31" i="3"/>
  <c r="AA24" i="3"/>
  <c r="Z24" i="3"/>
  <c r="AB24" i="3" s="1"/>
  <c r="AD24" i="3" s="1"/>
  <c r="AA54" i="3"/>
  <c r="AD19" i="3"/>
  <c r="Z58" i="3"/>
  <c r="AA58" i="3"/>
  <c r="AA14" i="3"/>
  <c r="AA30" i="3"/>
  <c r="AA12" i="3"/>
  <c r="Z12" i="3"/>
  <c r="AB35" i="3"/>
  <c r="AD35" i="3" s="1"/>
  <c r="AB4" i="3"/>
  <c r="AD4" i="3" s="1"/>
  <c r="AD46" i="3"/>
  <c r="AD53" i="3"/>
  <c r="Z9" i="3"/>
  <c r="Z45" i="3"/>
  <c r="Y56" i="3"/>
  <c r="AA56" i="3" s="1"/>
  <c r="Z57" i="3"/>
  <c r="AF2" i="2"/>
  <c r="Z8" i="3"/>
  <c r="AB8" i="3" s="1"/>
  <c r="AD8" i="3" s="1"/>
  <c r="AA9" i="3"/>
  <c r="AA21" i="3"/>
  <c r="AA33" i="3"/>
  <c r="AE2" i="2"/>
  <c r="Z21" i="3"/>
  <c r="Z33" i="3"/>
  <c r="Z20" i="3"/>
  <c r="AB20" i="3" s="1"/>
  <c r="AD20" i="3" s="1"/>
  <c r="Z32" i="3"/>
  <c r="AB32" i="3" s="1"/>
  <c r="AD32" i="3" s="1"/>
  <c r="Z44" i="3"/>
  <c r="AB44" i="3" s="1"/>
  <c r="AD44" i="3" s="1"/>
  <c r="AA45" i="3"/>
  <c r="Z56" i="3"/>
  <c r="AA57" i="3"/>
  <c r="AM2" i="1"/>
  <c r="AN2" i="1" s="1"/>
  <c r="AP2" i="1" s="1"/>
  <c r="AR2" i="1" s="1"/>
  <c r="Y6" i="3"/>
  <c r="Y18" i="3"/>
  <c r="Z18" i="3" s="1"/>
  <c r="AB18" i="3" s="1"/>
  <c r="AD18" i="3" s="1"/>
  <c r="Y30" i="3"/>
  <c r="Y42" i="3"/>
  <c r="AA42" i="3" s="1"/>
  <c r="Y54" i="3"/>
  <c r="Z6" i="3"/>
  <c r="Z42" i="3"/>
  <c r="Z54" i="3"/>
  <c r="Z30" i="3"/>
  <c r="AA18" i="3"/>
  <c r="Y3" i="3"/>
  <c r="AA3" i="3" s="1"/>
  <c r="Y15" i="3"/>
  <c r="AA15" i="3" s="1"/>
  <c r="Y27" i="3"/>
  <c r="Y39" i="3"/>
  <c r="AA39" i="3" s="1"/>
  <c r="Y51" i="3"/>
  <c r="AA51" i="3" s="1"/>
  <c r="Y14" i="3"/>
  <c r="Y26" i="3"/>
  <c r="Z27" i="3"/>
  <c r="Y38" i="3"/>
  <c r="Z38" i="3" s="1"/>
  <c r="Z39" i="3"/>
  <c r="Y50" i="3"/>
  <c r="AA50" i="3" s="1"/>
  <c r="Z51" i="3"/>
  <c r="AO2" i="1"/>
  <c r="Y61" i="3"/>
  <c r="AA61" i="3" s="1"/>
  <c r="Y2" i="3"/>
  <c r="Z2" i="3" s="1"/>
  <c r="AB2" i="3" s="1"/>
  <c r="AD2" i="3" s="1"/>
  <c r="Z14" i="3"/>
  <c r="Z26" i="3"/>
  <c r="AB26" i="3" s="1"/>
  <c r="AD26" i="3" s="1"/>
  <c r="Y48" i="3"/>
  <c r="Z48" i="3" s="1"/>
  <c r="Y60" i="3"/>
  <c r="Z60" i="3" s="1"/>
  <c r="Z59" i="3"/>
  <c r="AB59" i="3" s="1"/>
  <c r="AD59" i="3" s="1"/>
  <c r="AB56" i="3" l="1"/>
  <c r="AD56" i="3" s="1"/>
  <c r="AB42" i="3"/>
  <c r="AD42" i="3" s="1"/>
  <c r="AB6" i="3"/>
  <c r="AD6" i="3" s="1"/>
  <c r="AB9" i="3"/>
  <c r="AD9" i="3" s="1"/>
  <c r="AB14" i="3"/>
  <c r="AD14" i="3" s="1"/>
  <c r="Z15" i="3"/>
  <c r="AB15" i="3" s="1"/>
  <c r="AD15" i="3" s="1"/>
  <c r="AB33" i="3"/>
  <c r="AD33" i="3" s="1"/>
  <c r="AB21" i="3"/>
  <c r="AD21" i="3" s="1"/>
  <c r="AB51" i="3"/>
  <c r="AD51" i="3" s="1"/>
  <c r="AB27" i="3"/>
  <c r="AD27" i="3" s="1"/>
  <c r="AB45" i="3"/>
  <c r="AD45" i="3" s="1"/>
  <c r="AB58" i="3"/>
  <c r="AD58" i="3" s="1"/>
  <c r="Z3" i="3"/>
  <c r="AB3" i="3" s="1"/>
  <c r="AD3" i="3" s="1"/>
  <c r="AG2" i="2"/>
  <c r="AI2" i="2" s="1"/>
  <c r="AB12" i="3"/>
  <c r="AD12" i="3" s="1"/>
  <c r="AB30" i="3"/>
  <c r="AD30" i="3" s="1"/>
  <c r="AA38" i="3"/>
  <c r="AB38" i="3" s="1"/>
  <c r="AD38" i="3" s="1"/>
  <c r="Z50" i="3"/>
  <c r="AB50" i="3" s="1"/>
  <c r="AD50" i="3" s="1"/>
  <c r="AA48" i="3"/>
  <c r="AB48" i="3" s="1"/>
  <c r="AD48" i="3" s="1"/>
  <c r="AB57" i="3"/>
  <c r="AD57" i="3" s="1"/>
  <c r="AB39" i="3"/>
  <c r="AD39" i="3" s="1"/>
  <c r="AB54" i="3"/>
  <c r="AD54" i="3" s="1"/>
  <c r="AA60" i="3"/>
  <c r="AB60" i="3" s="1"/>
  <c r="AD6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  <scheme val="minor"/>
          </rPr>
          <t>Código Identificador do Patrimônio Estadual.
Este código é atribuído pela Superintendência Central de Patrimônio.
Campo não editável.</t>
        </r>
      </text>
    </comment>
  </commentList>
</comments>
</file>

<file path=xl/sharedStrings.xml><?xml version="1.0" encoding="utf-8"?>
<sst xmlns="http://schemas.openxmlformats.org/spreadsheetml/2006/main" count="1343" uniqueCount="704">
  <si>
    <t>CIPE (Códico do Imóvel)</t>
  </si>
  <si>
    <t>Município</t>
  </si>
  <si>
    <t>Matrícula/ Transcrição</t>
  </si>
  <si>
    <t xml:space="preserve"> CRI</t>
  </si>
  <si>
    <t>Ativo/Inativo</t>
  </si>
  <si>
    <t>Área da Certidão
(m² ou ha)</t>
  </si>
  <si>
    <t>Data da Aquisição ou Incorporação</t>
  </si>
  <si>
    <t>Valor de Aquisição</t>
  </si>
  <si>
    <t>Termos - Data Inicial</t>
  </si>
  <si>
    <t>Termos- Data Final</t>
  </si>
  <si>
    <t>Termos - Tipos</t>
  </si>
  <si>
    <t>Termos - Número</t>
  </si>
  <si>
    <t>Termos - Observações</t>
  </si>
  <si>
    <t>Termos - Processo</t>
  </si>
  <si>
    <t>Imóvel com Interesse ou Tombamento Cultural</t>
  </si>
  <si>
    <t xml:space="preserve"> Denominação do Imóvel</t>
  </si>
  <si>
    <t xml:space="preserve"> Endereço do Imóvel</t>
  </si>
  <si>
    <t xml:space="preserve"> Tipo do Imóvel</t>
  </si>
  <si>
    <t>Ocupação/ Edificação do Terreno</t>
  </si>
  <si>
    <t>013 - Destinação/Construção Original do imóvel</t>
  </si>
  <si>
    <t>018- Tipo de Ocupação</t>
  </si>
  <si>
    <t>Imóvel com uso compartilhado</t>
  </si>
  <si>
    <t>Área (estimada) ocupada pelo órgão</t>
  </si>
  <si>
    <t>LINK DRIVE</t>
  </si>
  <si>
    <t>Órgão Público Inventariante</t>
  </si>
  <si>
    <t>Código do Órgão Inventariante</t>
  </si>
  <si>
    <t>Valor Inventário 2021 (TCE)</t>
  </si>
  <si>
    <t>Código Patrimonial</t>
  </si>
  <si>
    <t>Descrição do Código Patrimonial</t>
  </si>
  <si>
    <t>Confirmação da Posse</t>
  </si>
  <si>
    <t>Reavaliação em 2022?</t>
  </si>
  <si>
    <t>Valor Terreno 2022</t>
  </si>
  <si>
    <t>Valor Edificação 2022</t>
  </si>
  <si>
    <t>Reavaliação em 2023?</t>
  </si>
  <si>
    <t>Valor Terreno 2023</t>
  </si>
  <si>
    <t>Valor Edificação 2023</t>
  </si>
  <si>
    <t>Valor de incorporação de obra</t>
  </si>
  <si>
    <t>Valor Bruto Contábil</t>
  </si>
  <si>
    <t>Valor Residual (20%)</t>
  </si>
  <si>
    <t>Qtd. de meses de depreciação</t>
  </si>
  <si>
    <t>Depreciação mensal</t>
  </si>
  <si>
    <t>Depreciação acumulada</t>
  </si>
  <si>
    <t>Código Patrimonial de Depreciação</t>
  </si>
  <si>
    <t>Valor contábil líquido</t>
  </si>
  <si>
    <t>1.0176.00014</t>
  </si>
  <si>
    <t>Palmeiras de Goiás</t>
  </si>
  <si>
    <t>CRI</t>
  </si>
  <si>
    <t>ATIVO</t>
  </si>
  <si>
    <t>962,00</t>
  </si>
  <si>
    <t>19/03/76</t>
  </si>
  <si>
    <t>Não</t>
  </si>
  <si>
    <t>EMATER</t>
  </si>
  <si>
    <t>Av. Humberto Mendonça, nº 200, Centro, Palmeiras de Goiás-GO</t>
  </si>
  <si>
    <t>Urbano</t>
  </si>
  <si>
    <t>Edificado</t>
  </si>
  <si>
    <t>Unidade Administrativa</t>
  </si>
  <si>
    <t>SIM</t>
  </si>
  <si>
    <t>https://drive.google.com/drive/folders/1rXOmMhrB9zjgsHaDWplG1rvvIBMVtEzC?usp=sharing</t>
  </si>
  <si>
    <t>OUTROS BENS IMÓVEIS - USO ESPECIAL</t>
  </si>
  <si>
    <t>NÃO</t>
  </si>
  <si>
    <t>CIPE (Código do Imóvel)</t>
  </si>
  <si>
    <t>Área 
(m² ou ha)</t>
  </si>
  <si>
    <t>Data da Incorporação</t>
  </si>
  <si>
    <t>Valor de Incorporação</t>
  </si>
  <si>
    <t>Termos - Data Final</t>
  </si>
  <si>
    <t xml:space="preserve">Termos - Tipo </t>
  </si>
  <si>
    <t>Denominação do Imóvel</t>
  </si>
  <si>
    <t>Endereço do Imóvel</t>
  </si>
  <si>
    <t>Tipo do Imóvel</t>
  </si>
  <si>
    <t>Valor Terreno</t>
  </si>
  <si>
    <t>Valor Edificação</t>
  </si>
  <si>
    <t>1.0185.00013</t>
  </si>
  <si>
    <t>Piracanjuba</t>
  </si>
  <si>
    <t>125,58m²</t>
  </si>
  <si>
    <t>-</t>
  </si>
  <si>
    <t>Cessão de Uso</t>
  </si>
  <si>
    <t>005/2014</t>
  </si>
  <si>
    <t>Estado de Goiás x EMATER</t>
  </si>
  <si>
    <t>Escritório Local da EMATER</t>
  </si>
  <si>
    <t>Entre as Ruas Percival Rebelo e Tiradentes, qd. 23, lt. 01, Setor Central</t>
  </si>
  <si>
    <t>SALAS E ESCRITÓRIOS - USO ESPECIAL</t>
  </si>
  <si>
    <t>1.0032.00010</t>
  </si>
  <si>
    <t>Bela Vista de Goiás</t>
  </si>
  <si>
    <t>833,01</t>
  </si>
  <si>
    <t>13/06/77</t>
  </si>
  <si>
    <t>20 Anos</t>
  </si>
  <si>
    <t>Termo de Cessão de Uso</t>
  </si>
  <si>
    <t>22/2023</t>
  </si>
  <si>
    <t>Abrigar uma unidade da EMATER em Bela Vista de Goiás, sendo vedado o uso para qualquer outra finalidade</t>
  </si>
  <si>
    <t xml:space="preserve">R. Adélino Roque
Bela Vista de Goiás - GO
</t>
  </si>
  <si>
    <t>Valor Inventário 2021</t>
  </si>
  <si>
    <t>Acreúna</t>
  </si>
  <si>
    <t>362,05m²</t>
  </si>
  <si>
    <t>Lote</t>
  </si>
  <si>
    <t>Av. São Felipe, nº 72, qd. 7, lt. 20, Centro</t>
  </si>
  <si>
    <t>Não Edificado</t>
  </si>
  <si>
    <t>TERRENOS - USO ESPECIAL</t>
  </si>
  <si>
    <t>Alexânia</t>
  </si>
  <si>
    <t>450m²</t>
  </si>
  <si>
    <t>Rua João Botelho de Andrade, qd. 85, lt. 15, Setor Nova Flórida</t>
  </si>
  <si>
    <t>Alto Paraíso de Goiás</t>
  </si>
  <si>
    <t>1023m²</t>
  </si>
  <si>
    <t>Rua das Araras, qd. 24, lt. 18, Núcleo Urbano</t>
  </si>
  <si>
    <t>Não Consta</t>
  </si>
  <si>
    <t>Alvorada do Norte</t>
  </si>
  <si>
    <t>558m²</t>
  </si>
  <si>
    <t>Rua Francisco Mota Lima, qd. B, lt. 13, Setor Alvoradinha</t>
  </si>
  <si>
    <t>Anicuns</t>
  </si>
  <si>
    <t>306m²</t>
  </si>
  <si>
    <t>Av. Paulo Alves, nº 1043, Centro</t>
  </si>
  <si>
    <t>Araçu</t>
  </si>
  <si>
    <t>368,20m²</t>
  </si>
  <si>
    <t>Rua Pará, esquina com Av. Sebastiana Marcelina Pires, nº 1, Centro</t>
  </si>
  <si>
    <t>774,2494ha</t>
  </si>
  <si>
    <t xml:space="preserve">Estação Experimental </t>
  </si>
  <si>
    <t>Rod. GO-154, Escola Fundação Pro Cerrado, KM 14, estrada Araçu Ordália</t>
  </si>
  <si>
    <t>Rural</t>
  </si>
  <si>
    <t>FAZENDAS - USO ESPECIAL</t>
  </si>
  <si>
    <t>Barro Alto</t>
  </si>
  <si>
    <t>800m²</t>
  </si>
  <si>
    <t>Rua São Paulo, nº 184, qd. 31, lt. 7, Centro</t>
  </si>
  <si>
    <t>Bom Jardim de Goiás</t>
  </si>
  <si>
    <t>437,50m²</t>
  </si>
  <si>
    <t>Av. Joaquim Carlos Garcia, nº 145, qd. 3, lt. 33, Centro</t>
  </si>
  <si>
    <t>Bom Jesus de Goiás</t>
  </si>
  <si>
    <t>499,20m²</t>
  </si>
  <si>
    <t>Rua Um, nº 147, qd. 9, lt. 1, Centro</t>
  </si>
  <si>
    <t>Cachoeira Alta</t>
  </si>
  <si>
    <t>480m²</t>
  </si>
  <si>
    <t>Rua Cel. Seabra, nº 92, qd. 22, lt. 7407</t>
  </si>
  <si>
    <t>Caçu</t>
  </si>
  <si>
    <t>377m²</t>
  </si>
  <si>
    <t>Rua Paula e Silva, nº 420, qd. 17, lt. J-2, Centro</t>
  </si>
  <si>
    <t>Campos Belos</t>
  </si>
  <si>
    <t>337,50m²</t>
  </si>
  <si>
    <t>Rua Desembargador Rivadávia Licínio de Miranda, qd. H, lt. 8, Vila Baiana</t>
  </si>
  <si>
    <t>Carmo do Rio Verde</t>
  </si>
  <si>
    <t>Rua Anestar Clemente, nº 126, Centro</t>
  </si>
  <si>
    <t>Ceres</t>
  </si>
  <si>
    <t>1150,47m²</t>
  </si>
  <si>
    <t>Escritório Regional e Local da EMATER</t>
  </si>
  <si>
    <t>Rua 05, nº 307, Centro</t>
  </si>
  <si>
    <t>Goiás</t>
  </si>
  <si>
    <t>2348,92m²</t>
  </si>
  <si>
    <t>Rua Edgar Camelo c/ Bom Pastor, qd. 4, lt. 1, Chapéu de Padre</t>
  </si>
  <si>
    <t>Crixás</t>
  </si>
  <si>
    <t>522m²</t>
  </si>
  <si>
    <t>Rua Rusolino de Azevedo, qd. 8, lt. 13, Centro</t>
  </si>
  <si>
    <t>Colinas do Sul</t>
  </si>
  <si>
    <t>320,25m²</t>
  </si>
  <si>
    <t>Rua Juscelino Kubitschek, qd. 46, lt. 3, Centro</t>
  </si>
  <si>
    <t>Damolândia</t>
  </si>
  <si>
    <t>536,93m²</t>
  </si>
  <si>
    <t>Praça Possidônio de Lima, nº 46, qd. 18, lt. 17, Centro</t>
  </si>
  <si>
    <t>Fazenda Nova</t>
  </si>
  <si>
    <t>360m²</t>
  </si>
  <si>
    <t>Av. Goiás, qd. 34, lt. 14, Centro</t>
  </si>
  <si>
    <t>Formoso</t>
  </si>
  <si>
    <t>609m²</t>
  </si>
  <si>
    <t>Av. José Alves de Araújo, qd. 21, lt. 8, Centro</t>
  </si>
  <si>
    <t>Goiânia</t>
  </si>
  <si>
    <t>188527,67m²</t>
  </si>
  <si>
    <t>Complexo de Inovação Rural</t>
  </si>
  <si>
    <t>Estrada do Campus II, qd. Área, lt. AR3, Campus Samambaia</t>
  </si>
  <si>
    <t>Goianésia</t>
  </si>
  <si>
    <t>384,50m²</t>
  </si>
  <si>
    <t>Rua 31, nº 410, Qd. 178, lt. 21, Centro</t>
  </si>
  <si>
    <t>Guapó</t>
  </si>
  <si>
    <t>589m²</t>
  </si>
  <si>
    <t>Rua São Salvador, nº 495, qd. 15, lt. 3</t>
  </si>
  <si>
    <t>Iaciara</t>
  </si>
  <si>
    <t>Avenida Duque de Caxias</t>
  </si>
  <si>
    <t>Ipameri</t>
  </si>
  <si>
    <t>127,50m²</t>
  </si>
  <si>
    <t>Rua Marechal Floriano Peixoto, nº 39, Centro</t>
  </si>
  <si>
    <t>Itaberaí</t>
  </si>
  <si>
    <t>243,93m²</t>
  </si>
  <si>
    <t>Praça da Saudade, Centro</t>
  </si>
  <si>
    <t>Itapaci</t>
  </si>
  <si>
    <t>Rua Santos Dumont, nº 37, qd. 78, lt. 911, Centro</t>
  </si>
  <si>
    <t>Itapirapuã</t>
  </si>
  <si>
    <t>756m²</t>
  </si>
  <si>
    <t>Rua 15 de Novembro, nº 35, Centro</t>
  </si>
  <si>
    <t>Itapuranga</t>
  </si>
  <si>
    <t>Rua 47-A, nº 370, qd. 12, lt. 4, Centro</t>
  </si>
  <si>
    <t>Itumbiara</t>
  </si>
  <si>
    <t>574,72m²</t>
  </si>
  <si>
    <t>Rua Marechal Deodoro, nº 180, qd. 4,lt. 1, Centro</t>
  </si>
  <si>
    <t>Jataí</t>
  </si>
  <si>
    <t>478,50m²</t>
  </si>
  <si>
    <t>Avenida Goiás, nº 423, qd. 3, lt. 19, Centro</t>
  </si>
  <si>
    <t>Jandaia</t>
  </si>
  <si>
    <t>201,60m²</t>
  </si>
  <si>
    <t>Rua Joaquim Maria Filho, qd. 6, lt. 5, Centro</t>
  </si>
  <si>
    <t>Jussara</t>
  </si>
  <si>
    <t>415,18m²</t>
  </si>
  <si>
    <t>Rua W-3, nº 50, qd. 4, lt. 2, São Francisci</t>
  </si>
  <si>
    <t>Leopoldo de Bulhões</t>
  </si>
  <si>
    <t>902 / 7125</t>
  </si>
  <si>
    <t>300m²</t>
  </si>
  <si>
    <t>Rua Mário Rodrigues da Paixão, nº 350, qd. 2, lt. 2, Centro</t>
  </si>
  <si>
    <t>Mara Rosa</t>
  </si>
  <si>
    <t>445,50m²</t>
  </si>
  <si>
    <t>Av. Pedro Ludovico esq. com Rua São Paulo, qd. 34, lt. 13, Centro</t>
  </si>
  <si>
    <t>Mineiros</t>
  </si>
  <si>
    <t>2ª Avenida, nº 78, qd. 26, lts. 16 e 17, Centro</t>
  </si>
  <si>
    <t>Morrinhos</t>
  </si>
  <si>
    <t>507m²</t>
  </si>
  <si>
    <t>Rua 210, qd. 17, lt. 16, Setor Aeroporto</t>
  </si>
  <si>
    <t>Morro Agudo de Goiás</t>
  </si>
  <si>
    <t>Rua Cipreste, qd. 28, lt. 3, Bairro Rodoviária</t>
  </si>
  <si>
    <t>Montes Claros de Goiás</t>
  </si>
  <si>
    <t>Avenida Presidente Vargas, qd. 10, lt. 166, Centro</t>
  </si>
  <si>
    <t>Mozarlândia</t>
  </si>
  <si>
    <t>525m²</t>
  </si>
  <si>
    <t>Rua Brasil Ramos Caiado, nº 515, ad. 35, lt. 5, Centro</t>
  </si>
  <si>
    <t>Nova Veneza</t>
  </si>
  <si>
    <t>Avenida Vereador José Francisco da Silva, nº 38, Centro</t>
  </si>
  <si>
    <t>Orizona</t>
  </si>
  <si>
    <t>396m²</t>
  </si>
  <si>
    <t>Rua Dom Emanuel, nº 14, qd. 0, lt. AI 3, Centro</t>
  </si>
  <si>
    <t>Padre Bernardo</t>
  </si>
  <si>
    <t>401,43m²</t>
  </si>
  <si>
    <t>Av. Santa Luzia, nº 772, qd. 12, lt. 19, Centro</t>
  </si>
  <si>
    <t>Paranaiguara</t>
  </si>
  <si>
    <t>336m²</t>
  </si>
  <si>
    <t>Avenida Oscar Bernardes, qd. 33, lt. 0, Centro</t>
  </si>
  <si>
    <t>Piranhas</t>
  </si>
  <si>
    <t>375m²</t>
  </si>
  <si>
    <t>Rua Previsto Moraes dos Santos, nº 662, qd. 10, lt. 4-A, Centro</t>
  </si>
  <si>
    <t>Porangatu</t>
  </si>
  <si>
    <t>900m²</t>
  </si>
  <si>
    <t>Rua 17, nº 18, lt. 23, Vila Mércia</t>
  </si>
  <si>
    <t>90.30.00ha</t>
  </si>
  <si>
    <t>Rod. BR 153, KM 12</t>
  </si>
  <si>
    <t>Posse</t>
  </si>
  <si>
    <t>700m²</t>
  </si>
  <si>
    <t>Rua Alvorada, qd. 20, lt. 8, Augusto José Valente</t>
  </si>
  <si>
    <t>Quirinópolis</t>
  </si>
  <si>
    <t>471,60m²</t>
  </si>
  <si>
    <t>Avenida Machado de Assis, nº 72, Centro</t>
  </si>
  <si>
    <t>Rio Quente</t>
  </si>
  <si>
    <t>Rua Antônio V. de Lima, qd. 4, lt. 2, Centro</t>
  </si>
  <si>
    <t>Rio Verde</t>
  </si>
  <si>
    <t>504,44m²</t>
  </si>
  <si>
    <t>Rua do Ginásio, nº 554, Centro</t>
  </si>
  <si>
    <t>Sanclerlândia</t>
  </si>
  <si>
    <t>324m²</t>
  </si>
  <si>
    <t>Avenida Norte Sul, nº 386, qd. Única, lt. 5, Centro</t>
  </si>
  <si>
    <t>São Domingos</t>
  </si>
  <si>
    <t>567m²</t>
  </si>
  <si>
    <t>Rua das Flores com a Rua Pe Luiz, Centro</t>
  </si>
  <si>
    <t>São Luis de Montes Belos</t>
  </si>
  <si>
    <t>956,70m²</t>
  </si>
  <si>
    <t>Rua Agropecuária, qd. 1, lt. 9, Bela Vista</t>
  </si>
  <si>
    <t>Silvânia</t>
  </si>
  <si>
    <t>599,11m²</t>
  </si>
  <si>
    <t>Praça Celso Silva, nº 89, Centro</t>
  </si>
  <si>
    <t>Trindade</t>
  </si>
  <si>
    <t>Rua 1 esq. com a Rua 10, qd. 3, lt. 1, Santuário</t>
  </si>
  <si>
    <t>Uruana</t>
  </si>
  <si>
    <t>204,75m²</t>
  </si>
  <si>
    <t>Rua 14, esq. com Av. Brasil, qd. 22, lt. 01, Centro</t>
  </si>
  <si>
    <t>Uruaçu</t>
  </si>
  <si>
    <t>1000m²</t>
  </si>
  <si>
    <t>Rua 03, qd. 08, lt. 02, Copacabana</t>
  </si>
  <si>
    <t>Vianópolis</t>
  </si>
  <si>
    <t>540m²</t>
  </si>
  <si>
    <t>Rua Travessa dos Tavares, nº 130, Centro</t>
  </si>
  <si>
    <t>Valor Contábil</t>
  </si>
  <si>
    <t>420m²</t>
  </si>
  <si>
    <t>Cessão de uso</t>
  </si>
  <si>
    <t>Secretaria de Estado da Retomada</t>
  </si>
  <si>
    <t>Edificação</t>
  </si>
  <si>
    <t>Rua 11, qd. 1, lt. 9, Setor Oeste</t>
  </si>
  <si>
    <t>Rua 11, qd. 1, lt. 8, Setor Oeste</t>
  </si>
  <si>
    <t>Valor Bruto Contábil 2022</t>
  </si>
  <si>
    <t>Valor Bruto Contábil 2023</t>
  </si>
  <si>
    <t>1.2.3.2.1.06.01.01.00</t>
  </si>
  <si>
    <t>OBRAS EM ANDAMENTO</t>
  </si>
  <si>
    <t>1.2.3.2.1.06.01.02.00</t>
  </si>
  <si>
    <t>ESTUDOS E PROJETOS DE EDIFICAÇÕES - SCP</t>
  </si>
  <si>
    <t>1.2.3.2.1.99.99.01.00</t>
  </si>
  <si>
    <t>OUTRAS OBRAS EM INSTALAÇÕES</t>
  </si>
  <si>
    <t>Conta Patrimonial</t>
  </si>
  <si>
    <t>Descrição da Conta</t>
  </si>
  <si>
    <t>Orgão (Código)</t>
  </si>
  <si>
    <t>Descrição do Orgão</t>
  </si>
  <si>
    <t>SALDO 2022(Valor Bruto Contábil)</t>
  </si>
  <si>
    <t>SALDO 2023  (Valor Bruto Contábil)</t>
  </si>
  <si>
    <t>Conta de Depreciação</t>
  </si>
  <si>
    <t>Depreciação Acumulada (-)</t>
  </si>
  <si>
    <t>Valor Líquido Contábil 2023</t>
  </si>
  <si>
    <t>https://docs.google.com/spreadsheets/d/1zwtmvbEVCGELYcqtI3O8G3JVCSb0rXTuxCizsqFeKmM/edit#gid=0</t>
  </si>
  <si>
    <t>Código do Órgão</t>
  </si>
  <si>
    <t>Confimação de Propriedade</t>
  </si>
  <si>
    <t>Descrição do Código Associado (De acordo com o Plano de Contas)</t>
  </si>
  <si>
    <t>Código Associado (de acordo com o Plano de contas)</t>
  </si>
  <si>
    <t>Realizou reavaliação?</t>
  </si>
  <si>
    <t>IMÓVEIS RESIDENCIAIS - USO ESPECIAL</t>
  </si>
  <si>
    <t>1.2.3.2.1.01.01.01.00</t>
  </si>
  <si>
    <t>1.2.3.8.1.02.01.01.01</t>
  </si>
  <si>
    <t>Abadia de Goiás</t>
  </si>
  <si>
    <t>1.2.3.2.1.01.02.01.00</t>
  </si>
  <si>
    <t>1.2.3.8.1.02.01.02.01</t>
  </si>
  <si>
    <t>Abadiânia</t>
  </si>
  <si>
    <t>1ªCRI</t>
  </si>
  <si>
    <t>FORMULA CODIGO PATRIMONIO =PROCV($AC2;APOIO!$D:$E;2;FALSO)</t>
  </si>
  <si>
    <t>EDIFICIOS - USO ESPECIAL</t>
  </si>
  <si>
    <t>1.2.3.2.1.01.03.01.00</t>
  </si>
  <si>
    <t>1.2.3.8.1.02.01.03.01</t>
  </si>
  <si>
    <t>2ªCRI</t>
  </si>
  <si>
    <t>Imóvel não localizado</t>
  </si>
  <si>
    <t>1.2.3.2.1.01.04.01.00</t>
  </si>
  <si>
    <t>1.2.3.8.1.02.01.04.01</t>
  </si>
  <si>
    <t>Adelândia</t>
  </si>
  <si>
    <t>3ªCRI</t>
  </si>
  <si>
    <t>IMÓVEIS ESTADUAIS</t>
  </si>
  <si>
    <t>ARMAZÉNS - USO ESPECIAL</t>
  </si>
  <si>
    <t>1.2.3.2.1.01.05.01.00</t>
  </si>
  <si>
    <t>1.2.3.8.1.02.01.05.01</t>
  </si>
  <si>
    <t>Água Fria de Goiás</t>
  </si>
  <si>
    <t>4ªCRI</t>
  </si>
  <si>
    <t xml:space="preserve"> Ocupação Desordenada</t>
  </si>
  <si>
    <t>IMÓVEIS RECEBIDOS EM CESSÃO</t>
  </si>
  <si>
    <t>GALPÕES - USO ESPECIAL</t>
  </si>
  <si>
    <t>1.2.3.2.1.01.05.02.00</t>
  </si>
  <si>
    <t>1.2.3.8.1.02.01.05.02</t>
  </si>
  <si>
    <t>Água Limpa</t>
  </si>
  <si>
    <t>Edificação em ruína</t>
  </si>
  <si>
    <t>IMÓVEIS PRÓPRIOS</t>
  </si>
  <si>
    <t>QUARTÉIS - USO ESPECIAL</t>
  </si>
  <si>
    <t>1.2.3.2.1.01.06.01.00</t>
  </si>
  <si>
    <t>1.2.3.8.1.02.01.00.01</t>
  </si>
  <si>
    <t>Águas Lindas de Goiás</t>
  </si>
  <si>
    <t>IMÓVEIS PRÓPRIOS CEDIDOS</t>
  </si>
  <si>
    <t>AEROPORTOS - USO ESPECIAL</t>
  </si>
  <si>
    <t>1.2.3.2.1.01.07.01.00</t>
  </si>
  <si>
    <t>1.2.3.8.1.02.01.07.01</t>
  </si>
  <si>
    <t>ESTAÇÕES - USO ESPECIAL</t>
  </si>
  <si>
    <t>1.2.3.2.1.01.07.02.00</t>
  </si>
  <si>
    <t>1.2.3.8.1.02.01.07.02</t>
  </si>
  <si>
    <t>Aloândia</t>
  </si>
  <si>
    <t>AERÓDROMOS - USO ESPECIAL</t>
  </si>
  <si>
    <t>1.2.3.2.1.01.07.03.00</t>
  </si>
  <si>
    <t>1.2.3.8.1.02.01.07.03</t>
  </si>
  <si>
    <t>Alto Horizonte</t>
  </si>
  <si>
    <t>ESCOLAS - USO ESPECIAL</t>
  </si>
  <si>
    <t>1.2.3.2.1.01.08.01.00</t>
  </si>
  <si>
    <t>1.2.3.8.1.02.01.08.01</t>
  </si>
  <si>
    <t>REPRESAS - USO ESPECIAL</t>
  </si>
  <si>
    <t>1.2.3.2.1.01.09.01.00</t>
  </si>
  <si>
    <t>1.2.3.8.1.02.01.09.01</t>
  </si>
  <si>
    <t>AÇUDES - USO ESPECIAL</t>
  </si>
  <si>
    <t>1.2.3.2.1.01.09.02.00</t>
  </si>
  <si>
    <t>1.2.3.8.1.02.01.09.02</t>
  </si>
  <si>
    <t>Amaralina</t>
  </si>
  <si>
    <t>1.2.3.2.1.01.10.01.00</t>
  </si>
  <si>
    <t>1.2.3.8.1.02.01.10.01</t>
  </si>
  <si>
    <t>Americano do Brasil</t>
  </si>
  <si>
    <t>PARQUES - USO ESPECIAL</t>
  </si>
  <si>
    <t>1.2.3.2.1.01.10.02.00</t>
  </si>
  <si>
    <t>1.2.3.8.1.02.01.10.02</t>
  </si>
  <si>
    <t>Amorinópolis</t>
  </si>
  <si>
    <t>RESERVAS - USO ESPECIAL</t>
  </si>
  <si>
    <t>1.2.3.2.1.01.10.03.00</t>
  </si>
  <si>
    <t>1.2.3.8.1.02.01.10.03</t>
  </si>
  <si>
    <t>Anápolis</t>
  </si>
  <si>
    <t>CLUBES - USO ESPECIAL</t>
  </si>
  <si>
    <t>1.2.3.2.1.01.11.01.00</t>
  </si>
  <si>
    <t>1.2.3.8.1.02.01.11.01</t>
  </si>
  <si>
    <t>Anhanguera</t>
  </si>
  <si>
    <t>ESTÁDIOS - USO ESPECIAL</t>
  </si>
  <si>
    <t>1.2.3.2.1.01.11.02.00</t>
  </si>
  <si>
    <t>1.2.3.8.1.02.01.11.02</t>
  </si>
  <si>
    <t>TEATROS - USO ESPECIAL</t>
  </si>
  <si>
    <t>1.2.3.2.1.01.11.03.00</t>
  </si>
  <si>
    <t>1.2.3.8.1.02.01.11.03</t>
  </si>
  <si>
    <t>Aparecida de Goiânia</t>
  </si>
  <si>
    <t>CENTRO DE EVENTOS - USO ESPECIAL</t>
  </si>
  <si>
    <t>1.2.3.2.1.01.11.04.00</t>
  </si>
  <si>
    <t>1.2.3.8.1.02.01.11.04</t>
  </si>
  <si>
    <t>Aparecida do Rio Doce</t>
  </si>
  <si>
    <t>GINÁSIOS - USO ESPECIAL</t>
  </si>
  <si>
    <t>1.2.3.2.1.01.11.05.00</t>
  </si>
  <si>
    <t>1.2.3.8.1.02.01.11.05</t>
  </si>
  <si>
    <t>Aporé</t>
  </si>
  <si>
    <t>CENTRO ESPORTIVO / CAMPO DE FUTEBOL - USO ESPECIAL</t>
  </si>
  <si>
    <t>1.2.3.2.1.01.11.06.00</t>
  </si>
  <si>
    <t>1.2.3.8.1.02.01.11.06</t>
  </si>
  <si>
    <t>MUSEUS - USO ESPECIAL</t>
  </si>
  <si>
    <t>1.2.3.2.1.01.13.01.00</t>
  </si>
  <si>
    <t>1.2.3.8.1.02.01.13.01</t>
  </si>
  <si>
    <t>Aragarças</t>
  </si>
  <si>
    <t>PALÁCIOS - USO ESPECIAL</t>
  </si>
  <si>
    <t>1.2.3.2.1.01.13.02.00</t>
  </si>
  <si>
    <t>1.2.3.8.1.02.01.13.02</t>
  </si>
  <si>
    <t>Aragoiânia</t>
  </si>
  <si>
    <t>LABORATÓRIOS - USO ESPECIAL</t>
  </si>
  <si>
    <t>1.2.3.2.1.01.14.01.00</t>
  </si>
  <si>
    <t>1.2.3.8.1.02.01.14.01</t>
  </si>
  <si>
    <t>Araguapaz</t>
  </si>
  <si>
    <t>OBSERVATÓRIOS - USO ESPECIAL</t>
  </si>
  <si>
    <t>1.2.3.2.1.01.14.02.00</t>
  </si>
  <si>
    <t>1.2.3.8.1.02.01.14.02</t>
  </si>
  <si>
    <t>Arenópolis</t>
  </si>
  <si>
    <t>HOSPITAIS - USO ESPECIAL</t>
  </si>
  <si>
    <t>1.2.3.2.1.01.15.01.00</t>
  </si>
  <si>
    <t>1.2.3.8.1.02.01.15.01</t>
  </si>
  <si>
    <t>Aruanã</t>
  </si>
  <si>
    <t>UNIDADES DE SAÚDE - USO ESPECIAL</t>
  </si>
  <si>
    <t>1.2.3.2.1.01.15.02.00</t>
  </si>
  <si>
    <t>1.2.3.8.1.02.01.15.02</t>
  </si>
  <si>
    <t>Aurilândia</t>
  </si>
  <si>
    <t>HOTÉIS - USO ESPECIAL</t>
  </si>
  <si>
    <t>1.2.3.2.1.01.16.01.00</t>
  </si>
  <si>
    <t>1.2.3.8.1.02.01.16.01</t>
  </si>
  <si>
    <t>Avelinópolis</t>
  </si>
  <si>
    <t>PRESÍDIOS - USO ESPECIAL</t>
  </si>
  <si>
    <t>1.2.3.2.1.01.17.01.00</t>
  </si>
  <si>
    <t>1.2.3.8.1.02.01.17.01</t>
  </si>
  <si>
    <t>Baliza</t>
  </si>
  <si>
    <t>DELEGACIAS - USO ESPECIAL</t>
  </si>
  <si>
    <t>1.2.3.2.1.01.17.02.00</t>
  </si>
  <si>
    <t>1.2.3.8.1.02.01.17.02</t>
  </si>
  <si>
    <t>COMPLEXOS/FÁBRICAS/USINAS - USO ESPECIAL</t>
  </si>
  <si>
    <t>1.2.3.2.1.01.19.01.00</t>
  </si>
  <si>
    <t>1.2.3.8.1.02.01.19.01</t>
  </si>
  <si>
    <t>OUTROS IMÓVEIS PARA FINS INDUSTRIAIS - SCP - USO ESPECIAL</t>
  </si>
  <si>
    <t>1.2.3.2.1.01.19.90.00</t>
  </si>
  <si>
    <t>1.2.3.8.1.02.01.19.90</t>
  </si>
  <si>
    <t>Belém - PA</t>
  </si>
  <si>
    <t>ESTACIONAMENTOS E GARAGENS - USO ESPECIAL</t>
  </si>
  <si>
    <t>1.2.3.2.1.01.21.01.00</t>
  </si>
  <si>
    <t>1.2.3.8.1.02.01.21.01</t>
  </si>
  <si>
    <t>POSTOS DE FISCALIZAÇÃO - USO ESPECIAL</t>
  </si>
  <si>
    <t>1.2.3.2.1.01.22.01.00</t>
  </si>
  <si>
    <t>1.2.3.8.1.02.01.22.01</t>
  </si>
  <si>
    <t>DELEGACIA FISCAL - USO ESPECIAL</t>
  </si>
  <si>
    <t>1.2.3.2.1.01.22.02.00</t>
  </si>
  <si>
    <t>1.2.3.8.1.02.01.22.02</t>
  </si>
  <si>
    <t>Bonfinópolis</t>
  </si>
  <si>
    <t>OUTROS BENS IMÓVEIS DE USO ESPECIAL - USO ESPECIAL</t>
  </si>
  <si>
    <t>1.2.3.2.1.01.98.00.00</t>
  </si>
  <si>
    <t>1.2.3.8.1.02.01.98.00</t>
  </si>
  <si>
    <t>Bonópolis</t>
  </si>
  <si>
    <t>DESAPROPRIAÇÃO DE IMÓVEIS PARA FINS DE INTERESSE PÚBLICO - USO ESPECIAL</t>
  </si>
  <si>
    <t>1.2.3.2.1.01.98.01.00</t>
  </si>
  <si>
    <t>1.2.3.8.1.02.01.98.01</t>
  </si>
  <si>
    <t>Brasília</t>
  </si>
  <si>
    <t>OBRAS E INSTALAÇÕES - USO ESPECIAL</t>
  </si>
  <si>
    <t>1.2.3.2.1.01.98.02.00</t>
  </si>
  <si>
    <t>1.2.3.8.1.02.01.98.02</t>
  </si>
  <si>
    <t>Brazabrantes</t>
  </si>
  <si>
    <t>TERMINAIS RODOVIÁRIOS E HIDROVIÁRIOS - SCP - USO ESPECIAL</t>
  </si>
  <si>
    <t>1.2.3.2.1.01.98.03.00</t>
  </si>
  <si>
    <t>1.2.3.8.1.02.01.98.03</t>
  </si>
  <si>
    <t>Britânia</t>
  </si>
  <si>
    <t>OUTRAS EDIFICAÇÕES - USO ESPECIAL</t>
  </si>
  <si>
    <t>1.2.3.2.1.01.98.09.00</t>
  </si>
  <si>
    <t>1.2.3.8.1.02.01.98.09</t>
  </si>
  <si>
    <t>Buriti Alegre</t>
  </si>
  <si>
    <t>1.2.3.2.1.01.98.10.00</t>
  </si>
  <si>
    <t>1.2.3.8.1.02.01.98.10</t>
  </si>
  <si>
    <t>Buriti de Goiás</t>
  </si>
  <si>
    <t>EDIFICIOS - DOMINICAIS</t>
  </si>
  <si>
    <t>1.2.3.2.1.04.01.01.00</t>
  </si>
  <si>
    <t>1.2.3.8.1.02.04.01.01</t>
  </si>
  <si>
    <t>Buritinópolis</t>
  </si>
  <si>
    <t>APARTAMENTOS - DOMINICAIS</t>
  </si>
  <si>
    <t>1.2.3.2.1.04.02.01.00</t>
  </si>
  <si>
    <t>1.2.3.8.1.02.04.02.01</t>
  </si>
  <si>
    <t>Cabeceiras</t>
  </si>
  <si>
    <t>CASAS - DOMINICAIS</t>
  </si>
  <si>
    <t>1.2.3.2.1.04.04.01.00</t>
  </si>
  <si>
    <t>1.2.3.8.1.02.04.04.01</t>
  </si>
  <si>
    <t>GARAGENS E ESTACIONAMENTOS - DOMINICAIS</t>
  </si>
  <si>
    <t>1.2.3.2.1.04.07.01.00</t>
  </si>
  <si>
    <t>1.2.3.8.1.02.04.07.01</t>
  </si>
  <si>
    <t>Cachoeira de Goiás</t>
  </si>
  <si>
    <t>FAZENDAS - DOMINICAIS</t>
  </si>
  <si>
    <t>1.2.3.2.1.04.08.01.00</t>
  </si>
  <si>
    <t>1.2.3.8.1.02.04.08.01</t>
  </si>
  <si>
    <t>Cachoeira Dourada</t>
  </si>
  <si>
    <t>GALPÕES - DOMINICAIS</t>
  </si>
  <si>
    <t>1.2.3.2.1.04.09.01.00</t>
  </si>
  <si>
    <t>1.2.3.8.1.02.04.09.01</t>
  </si>
  <si>
    <t>SALAS - DOMINICAIS</t>
  </si>
  <si>
    <t>1.2.3.2.1.04.12.01.00</t>
  </si>
  <si>
    <t>1.2.3.8.1.02.04.12.01</t>
  </si>
  <si>
    <t>Caiapônia</t>
  </si>
  <si>
    <t>TERRENOS - DOMINICAIS</t>
  </si>
  <si>
    <t>1.2.3.2.1.04.13.01.00</t>
  </si>
  <si>
    <t>1.2.3.8.1.02.04.13.01</t>
  </si>
  <si>
    <t>Caldas Novas</t>
  </si>
  <si>
    <t>LOTES - DOMINICAIS</t>
  </si>
  <si>
    <t>1.2.3.2.1.04.14.01.00</t>
  </si>
  <si>
    <t>1.2.3.8.1.02.04.14.01</t>
  </si>
  <si>
    <t>Caldazinha</t>
  </si>
  <si>
    <t>GLEBAS URBANAS - DOMINICAIS</t>
  </si>
  <si>
    <t>1.2.3.2.1.04.16.01.00</t>
  </si>
  <si>
    <t>1.2.3.8.1.02.04.16.01</t>
  </si>
  <si>
    <t>Campestre de Goiás</t>
  </si>
  <si>
    <t>GLEBAS RURAIS - DOMINICAIS</t>
  </si>
  <si>
    <t>1.2.3.2.1.04.18.01.00</t>
  </si>
  <si>
    <t>1.2.3.8.1.02.04.18.01</t>
  </si>
  <si>
    <t>Campinaçu</t>
  </si>
  <si>
    <t>RUAS - USO COMUM DO POVO</t>
  </si>
  <si>
    <t>1.2.3.2.1.05.01.01.00</t>
  </si>
  <si>
    <t>1.2.3.8.1.02.05.03.01</t>
  </si>
  <si>
    <t>Campinorte</t>
  </si>
  <si>
    <t>PRAÇAS - USO COMUM DO POVO</t>
  </si>
  <si>
    <t>1.2.3.2.1.05.02.01.00</t>
  </si>
  <si>
    <t>1.2.3.8.1.02.05.04.01</t>
  </si>
  <si>
    <t>Campo Alegre de Goiás</t>
  </si>
  <si>
    <t>ESTRADAS - USO COMUM DO POVO</t>
  </si>
  <si>
    <t>1.2.3.2.1.05.03.01.00</t>
  </si>
  <si>
    <t>Campo Limpo de Goiás</t>
  </si>
  <si>
    <t>PONTES - USO COMUM DO POVO</t>
  </si>
  <si>
    <t>1.2.3.2.1.05.04.01.00</t>
  </si>
  <si>
    <t>VIADUTOS - USO COMUM DO POVO</t>
  </si>
  <si>
    <t>1.2.3.2.1.05.05.01.00</t>
  </si>
  <si>
    <t>1.2.3.8.1.02.05.05.01</t>
  </si>
  <si>
    <t>Campos Verdes</t>
  </si>
  <si>
    <t>SISTEMAS DE ESGOTO E/OU DE ABASTECIMENTO DE ÁGUA - USO COMUM DO POVO</t>
  </si>
  <si>
    <t>1.2.3.2.1.05.06.01.00</t>
  </si>
  <si>
    <t>SISTEMAS DE ABASTECIMETNO DE ENERGIA - USO COUMUM DO POVO</t>
  </si>
  <si>
    <t>1.2.3.2.1.05.07.01.00</t>
  </si>
  <si>
    <t>Castelândia</t>
  </si>
  <si>
    <t>REDES DE TELECOMUNICAÇÕES - USO COMUM DO POVO</t>
  </si>
  <si>
    <t>1.2.3.2.1.05.08.01.00</t>
  </si>
  <si>
    <t>Catalão</t>
  </si>
  <si>
    <t>MONUMENTOS  E PRÉDIOS HISTÓRICOS - USO COMUM DO POVO</t>
  </si>
  <si>
    <t>1.2.3.2.1.05.09.01.00</t>
  </si>
  <si>
    <t>1.2.3.8.1.02.05.09.01</t>
  </si>
  <si>
    <t>Caturaí</t>
  </si>
  <si>
    <t>OUTROS BENS DE USO COMUM DO POVO</t>
  </si>
  <si>
    <t>1.2.3.2.1.05.99.00.00</t>
  </si>
  <si>
    <t>Cavalcante</t>
  </si>
  <si>
    <t xml:space="preserve">BENS IMÓVEIS NÃO LOCALIZADOS </t>
  </si>
  <si>
    <t>1.2.3.2.1.99.05.01.00</t>
  </si>
  <si>
    <t xml:space="preserve">BENS IMÓVEIS PARA ALIENAÇÃO </t>
  </si>
  <si>
    <t>1.2.3.2.1.99.06.01.00</t>
  </si>
  <si>
    <t>Cezarina</t>
  </si>
  <si>
    <t xml:space="preserve">BENS IMÓVEIS COM OCUPAÇÃO IRREGULAR </t>
  </si>
  <si>
    <t>1.2.3.2.1.99.99.03.00</t>
  </si>
  <si>
    <t>Chapadão do Céu</t>
  </si>
  <si>
    <t>BENS IMÓVEIS PARA DOAÇÃO</t>
  </si>
  <si>
    <t>1.2.3.2.1.99.99.04.00</t>
  </si>
  <si>
    <t>1.2.3.8.1.02.06.01.01</t>
  </si>
  <si>
    <t>Cidade Ocidental</t>
  </si>
  <si>
    <t>1.2.3.8.1.02.06.01.02</t>
  </si>
  <si>
    <t>Cocalzinho de Goiás</t>
  </si>
  <si>
    <t>Córrego do Ouro</t>
  </si>
  <si>
    <t>Corumbá de Goiás</t>
  </si>
  <si>
    <t>Corumbaíba</t>
  </si>
  <si>
    <t>Cristalina</t>
  </si>
  <si>
    <t>Cristianópolis</t>
  </si>
  <si>
    <t>Cromínia</t>
  </si>
  <si>
    <t>Cumari</t>
  </si>
  <si>
    <t>Damianópolis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</si>
  <si>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</si>
  <si>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</si>
  <si>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</si>
  <si>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</si>
  <si>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</si>
  <si>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</si>
  <si>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</si>
  <si>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</si>
  <si>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Firminópolis</t>
  </si>
  <si>
    <t>Flores de Goiás</t>
  </si>
  <si>
    <t>Formosa</t>
  </si>
  <si>
    <t>Gameleira de Goiás</t>
  </si>
  <si>
    <t>Goianápolis</t>
  </si>
  <si>
    <t>Goiandira</t>
  </si>
  <si>
    <t>Goianira</t>
  </si>
  <si>
    <t>Goiatuba</t>
  </si>
  <si>
    <t>Gouvelândia</t>
  </si>
  <si>
    <t>Guaraíta</t>
  </si>
  <si>
    <t>Guarani de Goiás</t>
  </si>
  <si>
    <t>Guarinos</t>
  </si>
  <si>
    <t>Heitoraí</t>
  </si>
  <si>
    <t>Hidrolândia</t>
  </si>
  <si>
    <t>Hidrolina</t>
  </si>
  <si>
    <t>Inaciolândia</t>
  </si>
  <si>
    <t>Indiara</t>
  </si>
  <si>
    <t>Inhumas</t>
  </si>
  <si>
    <t>Ipiranga de Goiás</t>
  </si>
  <si>
    <t>Iporá</t>
  </si>
  <si>
    <t>Israelândia</t>
  </si>
  <si>
    <t>Itaguari</t>
  </si>
  <si>
    <t>Itaguaru</t>
  </si>
  <si>
    <t>Itajá</t>
  </si>
  <si>
    <t>Itarumã</t>
  </si>
  <si>
    <t>Itauçu</t>
  </si>
  <si>
    <t>Ivolândia</t>
  </si>
  <si>
    <t>Jaraguá</t>
  </si>
  <si>
    <t>Jaupaci</t>
  </si>
  <si>
    <t>Jesúpolis</t>
  </si>
  <si>
    <t>Joviânia</t>
  </si>
  <si>
    <t>Lagoa Santa</t>
  </si>
  <si>
    <t>Luziânia</t>
  </si>
  <si>
    <t>Mairipotaba</t>
  </si>
  <si>
    <t>Mambaí</t>
  </si>
  <si>
    <t>Marzagão</t>
  </si>
  <si>
    <t>Matrinchã</t>
  </si>
  <si>
    <t>Maurilândia</t>
  </si>
  <si>
    <t>Mimoso de Goiás</t>
  </si>
  <si>
    <t>Minaçu</t>
  </si>
  <si>
    <t>Moiporá</t>
  </si>
  <si>
    <t>Monte Alegre de Goiás</t>
  </si>
  <si>
    <t>Montividiu</t>
  </si>
  <si>
    <t>Montividiu do Norte</t>
  </si>
  <si>
    <t>Mossâmedes</t>
  </si>
  <si>
    <t>Mundo Novo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</si>
  <si>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</si>
  <si>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</si>
  <si>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</si>
  <si>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</si>
  <si>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</si>
  <si>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</si>
  <si>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</si>
  <si>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</si>
  <si>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</si>
  <si>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</si>
  <si>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</si>
  <si>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</si>
  <si>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</si>
  <si>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Ouro Verde de Goiás</t>
  </si>
  <si>
    <t>Ouvidor</t>
  </si>
  <si>
    <t>Palestina de Goiás</t>
  </si>
  <si>
    <t>Palmelo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</si>
  <si>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</si>
  <si>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</si>
  <si>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</si>
  <si>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</si>
  <si>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</si>
  <si>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</si>
  <si>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</si>
  <si>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Pires do Rio</t>
  </si>
  <si>
    <t>Planaltina</t>
  </si>
  <si>
    <t>Pontalina</t>
  </si>
  <si>
    <t>Porteirão</t>
  </si>
  <si>
    <t>Portelândia</t>
  </si>
  <si>
    <t>Professor Jamil</t>
  </si>
  <si>
    <t>Rialma</t>
  </si>
  <si>
    <t>Rianápolis</t>
  </si>
  <si>
    <t>Rio de Janeiro</t>
  </si>
  <si>
    <t>Rubiataba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</si>
  <si>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</si>
  <si>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</si>
  <si>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</si>
  <si>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</si>
  <si>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</si>
  <si>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</si>
  <si>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</si>
  <si>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</si>
  <si>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</si>
  <si>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</si>
  <si>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</si>
  <si>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</si>
  <si>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</si>
  <si>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</si>
  <si>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</si>
  <si>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</si>
  <si>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</si>
  <si>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</si>
  <si>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</si>
  <si>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</si>
  <si>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</si>
  <si>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</si>
  <si>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</si>
  <si>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Simolândia</t>
  </si>
  <si>
    <t>Sitio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</si>
  <si>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</si>
  <si>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</si>
  <si>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</si>
  <si>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</si>
  <si>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</si>
  <si>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</si>
  <si>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</si>
  <si>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</si>
  <si>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Urutaí</t>
  </si>
  <si>
    <t>Valparaíso de Goiás</t>
  </si>
  <si>
    <t>Varjão</t>
  </si>
  <si>
    <t>Vicentinópolis</t>
  </si>
  <si>
    <t>Vila Boa</t>
  </si>
  <si>
    <t>Vila Propício</t>
  </si>
  <si>
    <t>Data</t>
  </si>
  <si>
    <r>
      <rPr>
        <b/>
        <sz val="11"/>
        <color rgb="FFFFFFFF"/>
        <rFont val="Calibri"/>
      </rPr>
      <t>Valor Inventário 2022</t>
    </r>
    <r>
      <rPr>
        <b/>
        <sz val="11"/>
        <color rgb="FFFFFFFF"/>
        <rFont val="Calibri"/>
      </rPr>
      <t xml:space="preserve"> (TCE)</t>
    </r>
  </si>
  <si>
    <t>Ano</t>
  </si>
  <si>
    <t>Mês</t>
  </si>
  <si>
    <t>Data da baixa da Matrícula</t>
  </si>
  <si>
    <t>Motivo da baixa da Matrícula</t>
  </si>
  <si>
    <t>Valor Inventário 2022 (TCE)</t>
  </si>
  <si>
    <t>Processo de comunicação</t>
  </si>
  <si>
    <t>Movimentação</t>
  </si>
  <si>
    <t>Data da Movimentação</t>
  </si>
  <si>
    <t>Observação</t>
  </si>
  <si>
    <t>EMATER - Unidade Porangatu</t>
  </si>
  <si>
    <t>Rua 17, nº 18, Qd. 02, Lt. parte do lote 21 e 22, Vila Mércia, Porangatu-GO</t>
  </si>
  <si>
    <t>R$ 349.295,60</t>
  </si>
  <si>
    <t>Movimentação entre Orgãos</t>
  </si>
  <si>
    <t xml:space="preserve">Essa matricula pertence à PM.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</si>
</sst>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&quot;/&quot;mm&quot;/&quot;yyyy"/>
    <numFmt numFmtId="165" formatCode="[$R$ -416]#,##0.00"/>
    <numFmt numFmtId="166" formatCode="dd/mm/yy"/>
    <numFmt numFmtId="167" formatCode="m/yyyy"/>
    <numFmt numFmtId="168" formatCode="d/m/yyyy"/>
    <numFmt numFmtId="169" formatCode="#,###,###,###"/>
  </numFmts>
  <fonts count="13" x14ac:knownFonts="1">
    <font>
      <sz val="10"/>
      <color rgb="FF000000"/>
      <name val="Arial"/>
      <scheme val="minor"/>
    </font>
    <font>
      <b/>
      <sz val="11"/>
      <color rgb="FFFFFFFF"/>
      <name val="Calibri"/>
    </font>
    <font>
      <sz val="10"/>
      <color theme="1"/>
      <name val="Arial"/>
    </font>
    <font>
      <u/>
      <sz val="10"/>
      <color rgb="FF1155CC"/>
      <name val="Arial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1"/>
      <color theme="0"/>
      <name val="Calibri"/>
    </font>
    <font>
      <u/>
      <sz val="11"/>
      <color rgb="FF008000"/>
      <name val="Inconsolata"/>
    </font>
    <font>
      <b/>
      <sz val="11"/>
      <color theme="1"/>
      <name val="Calibri"/>
    </font>
    <font>
      <sz val="11"/>
      <color rgb="FF000000"/>
      <name val="Inconsolata"/>
    </font>
    <font>
      <b/>
      <sz val="12"/>
      <color rgb="FFFFFFFF"/>
      <name val="Calibri"/>
    </font>
    <font>
      <sz val="12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69138"/>
        <bgColor rgb="FFE69138"/>
      </patternFill>
    </fill>
    <fill>
      <patternFill patternType="solid">
        <fgColor rgb="FFEA9999"/>
        <bgColor rgb="FFEA9999"/>
      </patternFill>
    </fill>
    <fill>
      <patternFill patternType="solid">
        <fgColor rgb="FF0563C1"/>
        <bgColor rgb="FF0563C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073763"/>
        <bgColor rgb="FF073763"/>
      </patternFill>
    </fill>
    <fill>
      <patternFill patternType="solid">
        <fgColor rgb="FFD9EAD3"/>
        <bgColor rgb="FFD9EA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/>
    <xf numFmtId="165" fontId="1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2" fillId="0" borderId="1" xfId="0" applyNumberFormat="1" applyFont="1" applyBorder="1" applyAlignment="1"/>
    <xf numFmtId="0" fontId="8" fillId="6" borderId="1" xfId="0" applyFont="1" applyFill="1" applyBorder="1" applyAlignment="1">
      <alignment wrapText="1"/>
    </xf>
    <xf numFmtId="4" fontId="9" fillId="7" borderId="1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 horizontal="center" vertical="center" wrapText="1"/>
    </xf>
    <xf numFmtId="4" fontId="1" fillId="5" borderId="0" xfId="0" applyNumberFormat="1" applyFont="1" applyFill="1" applyAlignment="1">
      <alignment horizontal="center" vertical="center" wrapText="1"/>
    </xf>
    <xf numFmtId="165" fontId="1" fillId="5" borderId="0" xfId="0" applyNumberFormat="1" applyFont="1" applyFill="1" applyAlignment="1">
      <alignment horizontal="center" vertical="center" wrapText="1"/>
    </xf>
    <xf numFmtId="165" fontId="1" fillId="5" borderId="0" xfId="0" applyNumberFormat="1" applyFont="1" applyFill="1" applyAlignment="1">
      <alignment horizontal="center" vertical="center" wrapText="1"/>
    </xf>
    <xf numFmtId="0" fontId="10" fillId="6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/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/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1" fillId="13" borderId="1" xfId="0" applyNumberFormat="1" applyFont="1" applyFill="1" applyBorder="1" applyAlignment="1">
      <alignment horizontal="center" vertical="center" wrapText="1"/>
    </xf>
    <xf numFmtId="165" fontId="11" fillId="13" borderId="1" xfId="0" applyNumberFormat="1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169" fontId="2" fillId="14" borderId="1" xfId="0" applyNumberFormat="1" applyFont="1" applyFill="1" applyBorder="1" applyAlignment="1">
      <alignment horizontal="center" vertical="center" wrapText="1"/>
    </xf>
    <xf numFmtId="4" fontId="2" fillId="14" borderId="1" xfId="0" applyNumberFormat="1" applyFont="1" applyFill="1" applyBorder="1" applyAlignment="1">
      <alignment horizontal="center" vertical="center" wrapText="1"/>
    </xf>
    <xf numFmtId="14" fontId="2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65" fontId="2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4" fontId="2" fillId="1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B6D7A8"/>
          <bgColor rgb="FFB6D7A8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R2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1.85546875" customWidth="1"/>
    <col min="2" max="2" width="14" customWidth="1"/>
    <col min="4" max="4" width="8.7109375" customWidth="1"/>
    <col min="5" max="5" width="9.5703125" hidden="1" customWidth="1"/>
    <col min="7" max="7" width="15" customWidth="1"/>
    <col min="9" max="12" width="12.5703125" hidden="1"/>
    <col min="13" max="13" width="27" hidden="1" customWidth="1"/>
    <col min="14" max="14" width="18.28515625" hidden="1" customWidth="1"/>
    <col min="15" max="15" width="14.140625" customWidth="1"/>
    <col min="16" max="16" width="24.85546875" customWidth="1"/>
    <col min="17" max="17" width="26" customWidth="1"/>
    <col min="20" max="20" width="22.7109375" hidden="1" customWidth="1"/>
    <col min="21" max="21" width="19.7109375" hidden="1" customWidth="1"/>
    <col min="22" max="22" width="21.42578125" customWidth="1"/>
    <col min="23" max="23" width="15.5703125" customWidth="1"/>
    <col min="24" max="24" width="22.42578125" customWidth="1"/>
    <col min="25" max="25" width="14.5703125" customWidth="1"/>
    <col min="26" max="26" width="17.5703125" customWidth="1"/>
    <col min="27" max="27" width="18" customWidth="1"/>
    <col min="28" max="28" width="19.5703125" customWidth="1"/>
    <col min="29" max="29" width="20.42578125" customWidth="1"/>
    <col min="30" max="30" width="13.7109375" customWidth="1"/>
    <col min="31" max="31" width="13.42578125" customWidth="1"/>
    <col min="34" max="37" width="14.7109375" customWidth="1"/>
    <col min="38" max="38" width="15.42578125" customWidth="1"/>
    <col min="40" max="40" width="15.5703125" customWidth="1"/>
    <col min="41" max="41" width="17.5703125" customWidth="1"/>
    <col min="42" max="42" width="15.5703125" customWidth="1"/>
    <col min="43" max="43" width="19.85546875" customWidth="1"/>
  </cols>
  <sheetData>
    <row r="1" spans="1:44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6" t="s">
        <v>14</v>
      </c>
      <c r="P1" s="8" t="s">
        <v>15</v>
      </c>
      <c r="Q1" s="8" t="s">
        <v>16</v>
      </c>
      <c r="R1" s="1" t="s">
        <v>17</v>
      </c>
      <c r="S1" s="1" t="s">
        <v>18</v>
      </c>
      <c r="T1" s="7" t="s">
        <v>19</v>
      </c>
      <c r="U1" s="7" t="s">
        <v>20</v>
      </c>
      <c r="V1" s="2" t="s">
        <v>21</v>
      </c>
      <c r="W1" s="9" t="s">
        <v>22</v>
      </c>
      <c r="X1" s="6" t="s">
        <v>23</v>
      </c>
      <c r="Y1" s="10" t="s">
        <v>24</v>
      </c>
      <c r="Z1" s="11" t="s">
        <v>25</v>
      </c>
      <c r="AA1" s="10" t="s">
        <v>26</v>
      </c>
      <c r="AB1" s="11" t="s">
        <v>27</v>
      </c>
      <c r="AC1" s="12" t="s">
        <v>28</v>
      </c>
      <c r="AD1" s="13" t="s">
        <v>29</v>
      </c>
      <c r="AE1" s="11" t="s">
        <v>30</v>
      </c>
      <c r="AF1" s="11" t="s">
        <v>31</v>
      </c>
      <c r="AG1" s="11" t="s">
        <v>32</v>
      </c>
      <c r="AH1" s="14" t="s">
        <v>33</v>
      </c>
      <c r="AI1" s="15" t="s">
        <v>34</v>
      </c>
      <c r="AJ1" s="15" t="s">
        <v>35</v>
      </c>
      <c r="AK1" s="13" t="s">
        <v>36</v>
      </c>
      <c r="AL1" s="10" t="s">
        <v>37</v>
      </c>
      <c r="AM1" s="16" t="s">
        <v>38</v>
      </c>
      <c r="AN1" s="10" t="s">
        <v>39</v>
      </c>
      <c r="AO1" s="10" t="s">
        <v>40</v>
      </c>
      <c r="AP1" s="10" t="s">
        <v>41</v>
      </c>
      <c r="AQ1" s="16" t="s">
        <v>42</v>
      </c>
      <c r="AR1" s="16" t="s">
        <v>43</v>
      </c>
    </row>
    <row r="2" spans="1:44" x14ac:dyDescent="0.2">
      <c r="A2" s="17" t="s">
        <v>44</v>
      </c>
      <c r="B2" s="18" t="s">
        <v>45</v>
      </c>
      <c r="C2" s="19">
        <v>28214</v>
      </c>
      <c r="D2" s="19" t="s">
        <v>46</v>
      </c>
      <c r="E2" s="19" t="s">
        <v>47</v>
      </c>
      <c r="F2" s="18" t="s">
        <v>48</v>
      </c>
      <c r="G2" s="20" t="s">
        <v>49</v>
      </c>
      <c r="H2" s="19">
        <v>0</v>
      </c>
      <c r="I2" s="21"/>
      <c r="J2" s="19"/>
      <c r="K2" s="22"/>
      <c r="L2" s="19"/>
      <c r="M2" s="22"/>
      <c r="N2" s="22"/>
      <c r="O2" s="19" t="s">
        <v>50</v>
      </c>
      <c r="P2" s="18" t="s">
        <v>51</v>
      </c>
      <c r="Q2" s="23" t="s">
        <v>52</v>
      </c>
      <c r="R2" s="19" t="s">
        <v>53</v>
      </c>
      <c r="S2" s="19" t="s">
        <v>54</v>
      </c>
      <c r="T2" s="19" t="s">
        <v>55</v>
      </c>
      <c r="U2" s="19" t="s">
        <v>55</v>
      </c>
      <c r="V2" s="24" t="s">
        <v>56</v>
      </c>
      <c r="W2" s="18">
        <v>962</v>
      </c>
      <c r="X2" s="25" t="s">
        <v>57</v>
      </c>
      <c r="Y2" s="26" t="s">
        <v>51</v>
      </c>
      <c r="Z2" s="27">
        <v>3262</v>
      </c>
      <c r="AA2" s="28"/>
      <c r="AB2" s="24" t="str">
        <f>VLOOKUP($AC2,APOIO!$D:$E,2,FALSE)</f>
        <v>1.2.3.2.1.01.98.10.00</v>
      </c>
      <c r="AC2" s="24" t="s">
        <v>58</v>
      </c>
      <c r="AD2" s="29" t="s">
        <v>56</v>
      </c>
      <c r="AE2" s="30" t="s">
        <v>56</v>
      </c>
      <c r="AF2" s="31">
        <v>248840.54</v>
      </c>
      <c r="AG2" s="31">
        <v>282157.59000000003</v>
      </c>
      <c r="AH2" s="32" t="s">
        <v>59</v>
      </c>
      <c r="AI2" s="31"/>
      <c r="AJ2" s="31"/>
      <c r="AK2" s="31"/>
      <c r="AL2" s="33">
        <f>IF($AH2 = "NÃO",
IF(AND($AE2 = "NÃO", OR($AA2=0, ISBLANK($AA2))),
      $AF2+$AG2+$AK2,
      IF(AND($AE2 = "NÃO", OR($AA2 &gt;0, NOT(ISBLANK($AA2)))),
           $AA2+$AK2,
           IF($AE2 = "SIM",
                $AF2+$AG2
           )
      )
),
$AI2 + $AJ2
)</f>
        <v>530998.13</v>
      </c>
      <c r="AM2" s="31">
        <f>IF(OR($AB2 = "1.2.3.2.1.99.05.01.00", $AB2 = "1.2.3.2.1.99.99.03.00"),
      0,
      IF(AND($AE2 = "NÃO", OR($AA2=0, ISBLANK($AA2))),
           ($AG2+$AK2)*20/100,
           IF(AND($AE2 = "NÃO", OR($AA2 &gt;0, NOT(ISBLANK($AA2)))),
                ($AA2+$AK2)*20/100,
                IF($AE2="SIM",
                     $AG2*20/100
                )
           )
      )
)</f>
        <v>56431.518000000011</v>
      </c>
      <c r="AN2" s="34">
        <f>IF(OR($AB2 = "1.2.3.2.1.99.05.01.00", $AB2 = "1.2.3.2.1.99.99.03.00", OR($AM2=0, ISBLANK($AM2))),
      0,
      IF(AND($AE2 = "NÃO", YEAR($G2) &lt;2022),
           12,
           IF(AND($AE2 = "NÃO", YEAR($G2) &gt;=2022),
                12 - (MONTH($G2)-1),
                IF(AND($AE2 = "SIM", YEAR($G2) &lt;2022),
                     11,
                     IF(AND($AE2 = "SIM", YEAR($G2) &gt;=2022),
                          12 - MONTH($G2)
                     )
                )
           )
      )
)</f>
        <v>11</v>
      </c>
      <c r="AO2" s="31">
        <f>IF(OR($AB2 = "1.2.3.2.1.99.05.01.00", $AB2 = "1.2.3.2.1.99.99.03.00"),
      0,
      IF(AND($AE2 = "NÃO", OR($AA2=0, ISBLANK($AA2))),
           (((((($AG2+$AK2)-$AM2))*4)/100)/12),
           IF(AND($AE2 = "NÃO", OR($AA2 &gt;0, NOT(ISBLANK($AA2)))),
                ((((($AA2+$AK2)-$AM2)*4)/100)/12),
                IF($AE2="SIM",
                     (((($AG2-$AM2)*4)/100)/12)
                )
           )
      )
)</f>
        <v>752.42024000000004</v>
      </c>
      <c r="AP2" s="31">
        <f>AN2*AO2</f>
        <v>8276.6226399999996</v>
      </c>
      <c r="AQ2" s="31" t="str">
        <f>VLOOKUP($AC2,APOIO!$D:$F,3,FALSE)</f>
        <v>1.2.3.8.1.02.01.98.10</v>
      </c>
      <c r="AR2" s="31">
        <f>AL2-AP2</f>
        <v>522721.50735999999</v>
      </c>
    </row>
  </sheetData>
  <autoFilter ref="A1:AR2" xr:uid="{00000000-0009-0000-0000-000000000000}"/>
  <dataValidations count="1">
    <dataValidation type="decimal" operator="greaterThanOrEqual" allowBlank="1" showDropDown="1" showErrorMessage="1" sqref="AF2:AG2" xr:uid="{00000000-0002-0000-0000-000003000000}">
      <formula1>0</formula1>
    </dataValidation>
  </dataValidations>
  <hyperlinks>
    <hyperlink ref="X2" display="https://drive.google.com/drive/folders/1rXOmMhrB9zjgsHaDWplG1rvvIBMVtEzC?usp=sharing" xr:uid="{00000000-0004-0000-0000-000000000000}"/>
  </hyperlink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APOIO!$D$2:$D$71</xm:f>
          </x14:formula1>
          <xm:sqref>AC2</xm:sqref>
        </x14:dataValidation>
        <x14:dataValidation type="list" allowBlank="1" showErrorMessage="1" xr:uid="{00000000-0002-0000-0000-000001000000}">
          <x14:formula1>
            <xm:f>APOIO!$C$2:$C$3</xm:f>
          </x14:formula1>
          <xm:sqref>AD2</xm:sqref>
        </x14:dataValidation>
        <x14:dataValidation type="list" allowBlank="1" showErrorMessage="1" xr:uid="{00000000-0002-0000-0000-000002000000}">
          <x14:formula1>
            <xm:f>APOIO!$G$2:$G$3</xm:f>
          </x14:formula1>
          <xm:sqref>AE2 AH2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outlinePr summaryBelow="0" summaryRight="0"/>
    <pageSetUpPr fitToPage="1"/>
  </sheetPr>
  <dimension ref="A1:Q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12.5703125" defaultRowHeight="15.75" customHeight="1" x14ac:dyDescent="0.2"/>
  <cols>
    <col min="2" max="2" width="11.42578125" customWidth="1"/>
    <col min="3" max="3" width="12.42578125" customWidth="1"/>
    <col min="4" max="4" width="6.140625" customWidth="1"/>
    <col min="6" max="6" width="10.42578125" customWidth="1"/>
    <col min="7" max="7" width="11" customWidth="1"/>
    <col min="8" max="8" width="13.140625" customWidth="1"/>
    <col min="9" max="9" width="21.28515625" customWidth="1"/>
    <col min="10" max="10" width="24.28515625" customWidth="1"/>
    <col min="11" max="11" width="17" customWidth="1"/>
    <col min="12" max="12" width="15.5703125" customWidth="1"/>
    <col min="13" max="13" width="11.85546875" customWidth="1"/>
    <col min="14" max="14" width="15.42578125" customWidth="1"/>
    <col min="15" max="15" width="19.42578125" customWidth="1"/>
    <col min="16" max="16" width="16.140625" customWidth="1"/>
    <col min="17" max="17" width="23.42578125" customWidth="1"/>
  </cols>
  <sheetData>
    <row r="1" spans="1:17" ht="75" x14ac:dyDescent="0.2">
      <c r="A1" s="1" t="s">
        <v>60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6</v>
      </c>
      <c r="G1" s="14" t="s">
        <v>692</v>
      </c>
      <c r="H1" s="14" t="s">
        <v>693</v>
      </c>
      <c r="I1" s="14" t="s">
        <v>66</v>
      </c>
      <c r="J1" s="14" t="s">
        <v>67</v>
      </c>
      <c r="K1" s="14" t="s">
        <v>27</v>
      </c>
      <c r="L1" s="14" t="s">
        <v>28</v>
      </c>
      <c r="M1" s="123" t="s">
        <v>694</v>
      </c>
      <c r="N1" s="124" t="s">
        <v>695</v>
      </c>
      <c r="O1" s="124" t="s">
        <v>696</v>
      </c>
      <c r="P1" s="125" t="s">
        <v>697</v>
      </c>
      <c r="Q1" s="126" t="s">
        <v>698</v>
      </c>
    </row>
    <row r="2" spans="1:17" ht="45.75" customHeight="1" x14ac:dyDescent="0.2">
      <c r="A2" s="127">
        <v>1019100019</v>
      </c>
      <c r="B2" s="128" t="s">
        <v>230</v>
      </c>
      <c r="C2" s="128">
        <v>8611</v>
      </c>
      <c r="D2" s="129" t="s">
        <v>46</v>
      </c>
      <c r="E2" s="130">
        <v>225</v>
      </c>
      <c r="F2" s="131">
        <v>34071</v>
      </c>
      <c r="G2" s="132">
        <v>0</v>
      </c>
      <c r="H2" s="128"/>
      <c r="I2" s="128" t="s">
        <v>699</v>
      </c>
      <c r="J2" s="128" t="s">
        <v>700</v>
      </c>
      <c r="K2" s="128" t="s">
        <v>462</v>
      </c>
      <c r="L2" s="128" t="s">
        <v>58</v>
      </c>
      <c r="M2" s="133" t="s">
        <v>701</v>
      </c>
      <c r="N2" s="134"/>
      <c r="O2" s="135" t="s">
        <v>702</v>
      </c>
      <c r="P2" s="136">
        <v>45125</v>
      </c>
      <c r="Q2" s="128" t="s">
        <v>703</v>
      </c>
    </row>
  </sheetData>
  <autoFilter ref="A1:Q2" xr:uid="{00000000-0009-0000-0000-000009000000}"/>
  <customSheetViews>
    <customSheetView guid="{B55C095A-C9F5-4D0E-8B6D-CF5BAB6A999A}" filter="1" showAutoFilter="1">
      <pageMargins left="0.511811024" right="0.511811024" top="0.78740157499999996" bottom="0.78740157499999996" header="0.31496062000000002" footer="0.31496062000000002"/>
      <autoFilter ref="A1:Q2" xr:uid="{5255670B-5830-4E69-931C-514447576095}"/>
    </customSheetView>
  </customSheetViews>
  <dataValidations count="1">
    <dataValidation type="list" allowBlank="1" showErrorMessage="1" sqref="O2" xr:uid="{00000000-0002-0000-0900-000000000000}">
      <formula1>"Inclusão,Baixa,Termo,Inativação,Duplicidade,Movimentação entre Orgãos"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3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6.42578125" customWidth="1"/>
    <col min="2" max="2" width="14" customWidth="1"/>
    <col min="4" max="4" width="8.7109375" customWidth="1"/>
    <col min="6" max="6" width="13.42578125" customWidth="1"/>
    <col min="7" max="7" width="14" customWidth="1"/>
    <col min="12" max="12" width="27" customWidth="1"/>
    <col min="13" max="13" width="18.28515625" customWidth="1"/>
    <col min="14" max="14" width="24.85546875" customWidth="1"/>
    <col min="15" max="15" width="26" customWidth="1"/>
    <col min="18" max="18" width="15.5703125" customWidth="1"/>
    <col min="19" max="19" width="15.28515625" customWidth="1"/>
    <col min="20" max="20" width="24.42578125" customWidth="1"/>
    <col min="21" max="21" width="25.5703125" customWidth="1"/>
    <col min="22" max="22" width="13.42578125" customWidth="1"/>
    <col min="31" max="32" width="15.140625" customWidth="1"/>
    <col min="33" max="33" width="15.5703125" customWidth="1"/>
    <col min="34" max="34" width="19.85546875" customWidth="1"/>
  </cols>
  <sheetData>
    <row r="1" spans="1:35" x14ac:dyDescent="0.2">
      <c r="A1" s="8" t="s">
        <v>60</v>
      </c>
      <c r="B1" s="13" t="s">
        <v>1</v>
      </c>
      <c r="C1" s="13" t="s">
        <v>2</v>
      </c>
      <c r="D1" s="13" t="s">
        <v>3</v>
      </c>
      <c r="E1" s="13" t="s">
        <v>61</v>
      </c>
      <c r="F1" s="35" t="s">
        <v>62</v>
      </c>
      <c r="G1" s="13" t="s">
        <v>63</v>
      </c>
      <c r="H1" s="13" t="s">
        <v>8</v>
      </c>
      <c r="I1" s="13" t="s">
        <v>64</v>
      </c>
      <c r="J1" s="13" t="s">
        <v>65</v>
      </c>
      <c r="K1" s="13" t="s">
        <v>11</v>
      </c>
      <c r="L1" s="13" t="s">
        <v>12</v>
      </c>
      <c r="M1" s="13" t="s">
        <v>13</v>
      </c>
      <c r="N1" s="13" t="s">
        <v>66</v>
      </c>
      <c r="O1" s="13" t="s">
        <v>67</v>
      </c>
      <c r="P1" s="13" t="s">
        <v>68</v>
      </c>
      <c r="Q1" s="13" t="s">
        <v>18</v>
      </c>
      <c r="R1" s="8" t="s">
        <v>24</v>
      </c>
      <c r="S1" s="8" t="s">
        <v>25</v>
      </c>
      <c r="T1" s="11" t="s">
        <v>27</v>
      </c>
      <c r="U1" s="13" t="s">
        <v>28</v>
      </c>
      <c r="V1" s="13" t="s">
        <v>30</v>
      </c>
      <c r="W1" s="13" t="s">
        <v>69</v>
      </c>
      <c r="X1" s="13" t="s">
        <v>70</v>
      </c>
      <c r="Y1" s="14" t="s">
        <v>33</v>
      </c>
      <c r="Z1" s="15" t="s">
        <v>34</v>
      </c>
      <c r="AA1" s="15" t="s">
        <v>35</v>
      </c>
      <c r="AB1" s="13" t="s">
        <v>36</v>
      </c>
      <c r="AC1" s="10" t="s">
        <v>37</v>
      </c>
      <c r="AD1" s="16" t="s">
        <v>38</v>
      </c>
      <c r="AE1" s="10" t="s">
        <v>39</v>
      </c>
      <c r="AF1" s="10" t="s">
        <v>40</v>
      </c>
      <c r="AG1" s="10" t="s">
        <v>41</v>
      </c>
      <c r="AH1" s="16" t="s">
        <v>42</v>
      </c>
      <c r="AI1" s="16" t="s">
        <v>43</v>
      </c>
    </row>
    <row r="2" spans="1:35" x14ac:dyDescent="0.2">
      <c r="A2" s="36" t="s">
        <v>71</v>
      </c>
      <c r="B2" s="32" t="s">
        <v>72</v>
      </c>
      <c r="C2" s="32">
        <v>22161</v>
      </c>
      <c r="D2" s="32" t="s">
        <v>46</v>
      </c>
      <c r="E2" s="37" t="s">
        <v>73</v>
      </c>
      <c r="F2" s="32" t="s">
        <v>74</v>
      </c>
      <c r="G2" s="32" t="s">
        <v>74</v>
      </c>
      <c r="H2" s="38">
        <v>41703</v>
      </c>
      <c r="I2" s="39">
        <v>45355</v>
      </c>
      <c r="J2" s="37" t="s">
        <v>75</v>
      </c>
      <c r="K2" s="32" t="s">
        <v>76</v>
      </c>
      <c r="L2" s="37" t="s">
        <v>77</v>
      </c>
      <c r="M2" s="37" t="s">
        <v>74</v>
      </c>
      <c r="N2" s="37" t="s">
        <v>78</v>
      </c>
      <c r="O2" s="40" t="s">
        <v>79</v>
      </c>
      <c r="P2" s="32" t="s">
        <v>53</v>
      </c>
      <c r="Q2" s="32" t="s">
        <v>54</v>
      </c>
      <c r="R2" s="41" t="str">
        <f>APOIO!$A$2</f>
        <v>EMATER</v>
      </c>
      <c r="S2" s="32">
        <v>3262</v>
      </c>
      <c r="T2" s="27" t="str">
        <f>VLOOKUP($U2,APOIO!$D:$E,2,FALSE)</f>
        <v>1.2.3.2.1.01.02.01.00</v>
      </c>
      <c r="U2" s="37" t="s">
        <v>80</v>
      </c>
      <c r="V2" s="32" t="s">
        <v>59</v>
      </c>
      <c r="W2" s="42">
        <v>17886.024000000001</v>
      </c>
      <c r="X2" s="43"/>
      <c r="Y2" s="32" t="s">
        <v>59</v>
      </c>
      <c r="Z2" s="43"/>
      <c r="AA2" s="43"/>
      <c r="AB2" s="43"/>
      <c r="AC2" s="33">
        <f t="shared" ref="AC2:AC3" si="0">IF($Y2 = "NÃO",
IF($V2 = "NÃO",
      ($W2+$X2+$AB2),
      ($W2+$X2)
),
$Z2 + AA2
)</f>
        <v>17886.024000000001</v>
      </c>
      <c r="AD2" s="33">
        <f t="shared" ref="AD2:AD3" si="1">IF(OR($T2 = "1.2.3.2.1.99.05.01.00", $T2 = "1.2.3.2.1.99.99.03.00"),
      0,
      IF($V2 = "NÃO",
           ($X2+$AB2)*20/100,
           $X2*20/100
))</f>
        <v>0</v>
      </c>
      <c r="AE2" s="44">
        <f t="shared" ref="AE2:AE3" si="2">IF(OR($T2 = "1.2.3.2.1.99.05.01.00", $T2 = "1.2.3.2.1.99.99.03.00", OR($AD2=0, ISBLANK($AD2))),
      0,
      IF(AND($V2 = "NÃO", DATEDIF($F2, "31/12/2022", "M") &lt; 12),
           12 - DATEDIF( "01/01/2022",$F2, "M"),
           IF(AND($V2 = "SIM", DATEDIF($F2, "31/12/2022", "M") &lt; 12),
                11 - DATEDIF( "01/01/2022",$F2, "M"),
                IF(AND($V2 = "NÃO", DATEDIF($F2, "31/12/2022", "M") &gt;= 12),
                     12,
                     IF(AND($V2 = "SIM", DATEDIF($F2, "31/12/2022", "M") &gt;= 12),
                          11,
                    )
                )
            )
      )
)</f>
        <v>0</v>
      </c>
      <c r="AF2" s="43">
        <f t="shared" ref="AF2:AF3" si="3">IF(OR($T2 = "1.2.3.2.1.99.05.01.00", $T2 = "1.2.3.2.1.99.99.03.00"),
      0,
      IF($V2 = "NÃO",
           ((((($X2+$AB2)-$AD2)*4)/100)/12),
           (((($X2-$AD2)*4)/100)/12)
      )
)</f>
        <v>0</v>
      </c>
      <c r="AG2" s="43">
        <f t="shared" ref="AG2:AG3" si="4">AE2*AF2</f>
        <v>0</v>
      </c>
      <c r="AH2" s="43" t="str">
        <f>VLOOKUP($U2,APOIO!$D:$F,3,FALSE)</f>
        <v>1.2.3.8.1.02.01.02.01</v>
      </c>
      <c r="AI2" s="43">
        <f t="shared" ref="AI2:AI3" si="5">AC2-AG2</f>
        <v>17886.024000000001</v>
      </c>
    </row>
    <row r="3" spans="1:35" x14ac:dyDescent="0.2">
      <c r="A3" s="45" t="s">
        <v>81</v>
      </c>
      <c r="B3" s="46" t="s">
        <v>82</v>
      </c>
      <c r="C3" s="46">
        <v>497</v>
      </c>
      <c r="D3" s="46" t="s">
        <v>46</v>
      </c>
      <c r="E3" s="46" t="s">
        <v>83</v>
      </c>
      <c r="F3" s="47" t="s">
        <v>84</v>
      </c>
      <c r="G3" s="37"/>
      <c r="H3" s="48">
        <v>45106</v>
      </c>
      <c r="I3" s="49" t="s">
        <v>85</v>
      </c>
      <c r="J3" s="50" t="s">
        <v>86</v>
      </c>
      <c r="K3" s="50" t="s">
        <v>87</v>
      </c>
      <c r="L3" s="50" t="s">
        <v>88</v>
      </c>
      <c r="M3" s="51">
        <v>201800066004659</v>
      </c>
      <c r="N3" s="46" t="s">
        <v>51</v>
      </c>
      <c r="O3" s="46" t="s">
        <v>89</v>
      </c>
      <c r="P3" s="37" t="s">
        <v>53</v>
      </c>
      <c r="Q3" s="37" t="s">
        <v>54</v>
      </c>
      <c r="R3" s="52" t="s">
        <v>51</v>
      </c>
      <c r="S3" s="45">
        <v>3262</v>
      </c>
      <c r="T3" s="53" t="str">
        <f>VLOOKUP($U3,APOIO!$D:$E,2,FALSE)</f>
        <v>1.2.3.2.1.01.98.10.00</v>
      </c>
      <c r="U3" s="37" t="s">
        <v>58</v>
      </c>
      <c r="V3" s="37" t="s">
        <v>59</v>
      </c>
      <c r="W3" s="52">
        <v>104065</v>
      </c>
      <c r="X3" s="26"/>
      <c r="Y3" s="37" t="s">
        <v>59</v>
      </c>
      <c r="Z3" s="26"/>
      <c r="AA3" s="26"/>
      <c r="AB3" s="26"/>
      <c r="AC3" s="54">
        <f t="shared" si="0"/>
        <v>104065</v>
      </c>
      <c r="AD3" s="54">
        <f t="shared" si="1"/>
        <v>0</v>
      </c>
      <c r="AE3" s="55">
        <f t="shared" si="2"/>
        <v>0</v>
      </c>
      <c r="AF3" s="26">
        <f t="shared" si="3"/>
        <v>0</v>
      </c>
      <c r="AG3" s="26">
        <f t="shared" si="4"/>
        <v>0</v>
      </c>
      <c r="AH3" s="26" t="str">
        <f>VLOOKUP($U3,APOIO!$D:$F,3,FALSE)</f>
        <v>1.2.3.8.1.02.01.98.10</v>
      </c>
      <c r="AI3" s="26">
        <f t="shared" si="5"/>
        <v>104065</v>
      </c>
    </row>
  </sheetData>
  <autoFilter ref="A1:AI3" xr:uid="{00000000-0009-0000-0000-000001000000}"/>
  <dataValidations count="1">
    <dataValidation type="decimal" operator="greaterThanOrEqual" allowBlank="1" showDropDown="1" showErrorMessage="1" sqref="W2:X3 Z2:AB3" xr:uid="{00000000-0002-0000-0100-000006000000}">
      <formula1>0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100-000000000000}">
          <x14:formula1>
            <xm:f>APOIO!$L$2:$L$7</xm:f>
          </x14:formula1>
          <xm:sqref>Q2:Q3</xm:sqref>
        </x14:dataValidation>
        <x14:dataValidation type="list" allowBlank="1" showErrorMessage="1" xr:uid="{00000000-0002-0000-0100-000001000000}">
          <x14:formula1>
            <xm:f>APOIO!$D$2:$D$71</xm:f>
          </x14:formula1>
          <xm:sqref>U2:U3</xm:sqref>
        </x14:dataValidation>
        <x14:dataValidation type="list" allowBlank="1" xr:uid="{00000000-0002-0000-0100-000002000000}">
          <x14:formula1>
            <xm:f>APOIO!$J$2:$J$6</xm:f>
          </x14:formula1>
          <xm:sqref>D2:D3</xm:sqref>
        </x14:dataValidation>
        <x14:dataValidation type="list" allowBlank="1" xr:uid="{00000000-0002-0000-0100-000003000000}">
          <x14:formula1>
            <xm:f>APOIO!$K$2:$K$3</xm:f>
          </x14:formula1>
          <xm:sqref>P2:P3</xm:sqref>
        </x14:dataValidation>
        <x14:dataValidation type="list" allowBlank="1" showErrorMessage="1" xr:uid="{00000000-0002-0000-0100-000004000000}">
          <x14:formula1>
            <xm:f>APOIO!$G$2:$G$3</xm:f>
          </x14:formula1>
          <xm:sqref>V2:V3 Y2:Y3</xm:sqref>
        </x14:dataValidation>
        <x14:dataValidation type="list" allowBlank="1" xr:uid="{00000000-0002-0000-0100-000005000000}">
          <x14:formula1>
            <xm:f>APOIO!$I$2:$I$252</xm:f>
          </x14:formula1>
          <xm:sqref>B2:B3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61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3.5703125" customWidth="1"/>
    <col min="2" max="2" width="22.85546875" customWidth="1"/>
    <col min="4" max="4" width="8.7109375" customWidth="1"/>
    <col min="6" max="6" width="13.42578125" customWidth="1"/>
    <col min="8" max="8" width="24.85546875" customWidth="1"/>
    <col min="9" max="9" width="26" customWidth="1"/>
    <col min="12" max="12" width="15.5703125" customWidth="1"/>
    <col min="13" max="13" width="15.28515625" customWidth="1"/>
    <col min="15" max="15" width="24.42578125" customWidth="1"/>
    <col min="16" max="16" width="25.5703125" customWidth="1"/>
    <col min="17" max="17" width="13.42578125" customWidth="1"/>
    <col min="20" max="23" width="14.42578125" customWidth="1"/>
    <col min="24" max="24" width="14.28515625" customWidth="1"/>
    <col min="26" max="28" width="15.5703125" customWidth="1"/>
    <col min="29" max="29" width="19.85546875" customWidth="1"/>
  </cols>
  <sheetData>
    <row r="1" spans="1:30" x14ac:dyDescent="0.2">
      <c r="A1" s="8" t="s">
        <v>60</v>
      </c>
      <c r="B1" s="13" t="s">
        <v>1</v>
      </c>
      <c r="C1" s="13" t="s">
        <v>2</v>
      </c>
      <c r="D1" s="13" t="s">
        <v>3</v>
      </c>
      <c r="E1" s="13" t="s">
        <v>61</v>
      </c>
      <c r="F1" s="56" t="s">
        <v>6</v>
      </c>
      <c r="G1" s="57" t="s">
        <v>7</v>
      </c>
      <c r="H1" s="13" t="s">
        <v>66</v>
      </c>
      <c r="I1" s="13" t="s">
        <v>67</v>
      </c>
      <c r="J1" s="13" t="s">
        <v>68</v>
      </c>
      <c r="K1" s="13" t="s">
        <v>18</v>
      </c>
      <c r="L1" s="8" t="s">
        <v>24</v>
      </c>
      <c r="M1" s="8" t="s">
        <v>25</v>
      </c>
      <c r="N1" s="13" t="s">
        <v>90</v>
      </c>
      <c r="O1" s="11" t="s">
        <v>27</v>
      </c>
      <c r="P1" s="13" t="s">
        <v>28</v>
      </c>
      <c r="Q1" s="11" t="s">
        <v>30</v>
      </c>
      <c r="R1" s="11" t="s">
        <v>31</v>
      </c>
      <c r="S1" s="11" t="s">
        <v>32</v>
      </c>
      <c r="T1" s="13" t="s">
        <v>33</v>
      </c>
      <c r="U1" s="13" t="s">
        <v>34</v>
      </c>
      <c r="V1" s="13" t="s">
        <v>35</v>
      </c>
      <c r="W1" s="13" t="s">
        <v>36</v>
      </c>
      <c r="X1" s="10" t="s">
        <v>37</v>
      </c>
      <c r="Y1" s="16" t="s">
        <v>38</v>
      </c>
      <c r="Z1" s="10" t="s">
        <v>39</v>
      </c>
      <c r="AA1" s="10" t="s">
        <v>40</v>
      </c>
      <c r="AB1" s="10" t="s">
        <v>41</v>
      </c>
      <c r="AC1" s="16" t="s">
        <v>42</v>
      </c>
      <c r="AD1" s="16" t="s">
        <v>43</v>
      </c>
    </row>
    <row r="2" spans="1:30" x14ac:dyDescent="0.2">
      <c r="A2" s="32" t="str">
        <f>CONCATENATE("3.",APOIO!$B$2,".","00001")</f>
        <v>3.3262.00001</v>
      </c>
      <c r="B2" s="32" t="s">
        <v>91</v>
      </c>
      <c r="C2" s="32">
        <v>242</v>
      </c>
      <c r="D2" s="32" t="s">
        <v>46</v>
      </c>
      <c r="E2" s="37" t="s">
        <v>92</v>
      </c>
      <c r="F2" s="38">
        <v>43353</v>
      </c>
      <c r="G2" s="58">
        <v>17748</v>
      </c>
      <c r="H2" s="37" t="s">
        <v>93</v>
      </c>
      <c r="I2" s="40" t="s">
        <v>94</v>
      </c>
      <c r="J2" s="32" t="s">
        <v>53</v>
      </c>
      <c r="K2" s="32" t="s">
        <v>95</v>
      </c>
      <c r="L2" s="41" t="str">
        <f>APOIO!$A$2</f>
        <v>EMATER</v>
      </c>
      <c r="M2" s="59">
        <f>APOIO!$B$2</f>
        <v>3262</v>
      </c>
      <c r="N2" s="43">
        <v>17748</v>
      </c>
      <c r="O2" s="27" t="str">
        <f>VLOOKUP($P2,APOIO!$D:$E,2,FALSE)</f>
        <v>1.2.3.2.1.01.04.01.00</v>
      </c>
      <c r="P2" s="37" t="s">
        <v>96</v>
      </c>
      <c r="Q2" s="32" t="s">
        <v>59</v>
      </c>
      <c r="R2" s="60"/>
      <c r="S2" s="43"/>
      <c r="T2" s="32" t="s">
        <v>59</v>
      </c>
      <c r="U2" s="43"/>
      <c r="V2" s="43"/>
      <c r="W2" s="43"/>
      <c r="X2" s="61">
        <f t="shared" ref="X2:X61" si="0">IF($T2 = "NÃO",
IF(AND($Q2 = "NÃO", OR($N2=0, ISBLANK($N2))),
      $R2+$S2+$W2,
      IF(AND($Q2 = "NÃO", OR($N2 &gt;0, NOT(ISBLANK($N2)))),
           $N2+$W2,
           IF($Q2 = "SIM",
                $R2+$S2
           )
      )
),
$U2 + $V2
)</f>
        <v>17748</v>
      </c>
      <c r="Y2" s="33">
        <f t="shared" ref="Y2:Y61" si="1">IF(OR($O2 = "1.2.3.2.1.99.05.01.00", $O2 = "1.2.3.2.1.99.99.03.00", $O2 = "1.2.3.2.1.01.04.01.00", $O2 = "1.2.3.2.1.01.10.01.00"),
      0,
      IF(AND($Q2 = "NÃO", OR($N2=0, ISBLANK($N2))),
           ($S2+$W2)*20/100,
           IF(AND($Q2 = "NÃO", OR($N2 &gt;0, NOT(ISBLANK($N2)))),
              ($N2+$W2)*20/100,
              IF($Q2="SIM",
                   $S2*20/100
              )
           )
      )
)</f>
        <v>0</v>
      </c>
      <c r="Z2" s="44">
        <f t="shared" ref="Z2:Z61" si="2">IF(OR($O2 = "1.2.3.2.1.99.05.01.00", $O2 = "1.2.3.2.1.99.99.03.00", $O2 = "1.2.3.2.1.01.04.01.00", $O2 = "1.2.3.2.1.01.10.01.00", OR($Y2=0, ISBLANK($Y2))),
      0,
      IF(AND($Q2 = "NÃO", YEAR($F2) &lt;2022),
          12,
          IF(AND($Q2 = "NÃO", YEAR($F2) &gt;=2022),
               12 - (MONTH($F2)-1),
               IF(AND($Q2 = "SIM", YEAR($F2) &lt;2022),
                  11,
                  IF(AND($Q2 = "SIM", YEAR($F2) &gt;=2022),
                       12 - MONTH($F2)
                  )
               )
          )
      )
)</f>
        <v>0</v>
      </c>
      <c r="AA2" s="43">
        <f t="shared" ref="AA2:AA61" si="3">IF(OR($O2 = "1.2.3.2.1.99.05.01.00", $O2 = "1.2.3.2.1.99.99.03.00", $O2 = "1.2.3.2.1.01.04.01.00", $O2 = "1.2.3.2.1.01.10.01.00"),
      0,
      IF(AND($Q2 = "NÃO", OR($N2=0, ISBLANK($N2))),
           (((((($S2+$W2)-$Y2))*4)/100)/12),
           IF(AND($Q2 = "NÃO", OR($N2 &gt;0, NOT(ISBLANK($N2)))),
                ((((($N2+$W2)-$Y2)*4)/100)/12),
                IF($Q2="SIM",
                     (((($S2-$Y2)*4)/100)/12)
                )
           )
      )
)</f>
        <v>0</v>
      </c>
      <c r="AB2" s="43">
        <f t="shared" ref="AB2:AB61" si="4">Z2*AA2</f>
        <v>0</v>
      </c>
      <c r="AC2" s="43" t="str">
        <f>VLOOKUP($P2,APOIO!$D:$F,3,FALSE)</f>
        <v>1.2.3.8.1.02.01.04.01</v>
      </c>
      <c r="AD2" s="43">
        <f t="shared" ref="AD2:AD61" si="5">X2-AB2</f>
        <v>17748</v>
      </c>
    </row>
    <row r="3" spans="1:30" x14ac:dyDescent="0.2">
      <c r="A3" s="32" t="str">
        <f ca="1">IFERROR(__xludf.DUMMYFUNCTION("CONCATENATE(""3."",APOIO!$B$2,""."",TEXT(INDEX(SPLIT(INDEX(A:A,ROW()-1,1),"".""),1,3)+1, ""00000""))"),"3.3262.00002")</f>
        <v>3.3262.00002</v>
      </c>
      <c r="B3" s="32" t="s">
        <v>97</v>
      </c>
      <c r="C3" s="32">
        <v>3973</v>
      </c>
      <c r="D3" s="32" t="s">
        <v>46</v>
      </c>
      <c r="E3" s="37" t="s">
        <v>98</v>
      </c>
      <c r="F3" s="38">
        <v>43228</v>
      </c>
      <c r="G3" s="58">
        <v>79144.350000000006</v>
      </c>
      <c r="H3" s="37" t="s">
        <v>78</v>
      </c>
      <c r="I3" s="40" t="s">
        <v>99</v>
      </c>
      <c r="J3" s="32" t="s">
        <v>53</v>
      </c>
      <c r="K3" s="32" t="s">
        <v>54</v>
      </c>
      <c r="L3" s="41" t="str">
        <f>APOIO!$A$2</f>
        <v>EMATER</v>
      </c>
      <c r="M3" s="59">
        <f>APOIO!$B$2</f>
        <v>3262</v>
      </c>
      <c r="N3" s="43">
        <v>79144.350000000006</v>
      </c>
      <c r="O3" s="27" t="str">
        <f>VLOOKUP($P3,APOIO!$D:$E,2,FALSE)</f>
        <v>1.2.3.2.1.01.02.01.00</v>
      </c>
      <c r="P3" s="37" t="s">
        <v>80</v>
      </c>
      <c r="Q3" s="32" t="s">
        <v>59</v>
      </c>
      <c r="R3" s="60"/>
      <c r="S3" s="43"/>
      <c r="T3" s="32" t="s">
        <v>59</v>
      </c>
      <c r="U3" s="43"/>
      <c r="V3" s="43"/>
      <c r="W3" s="43"/>
      <c r="X3" s="61">
        <f t="shared" si="0"/>
        <v>79144.350000000006</v>
      </c>
      <c r="Y3" s="33">
        <f t="shared" si="1"/>
        <v>15828.87</v>
      </c>
      <c r="Z3" s="44">
        <f t="shared" si="2"/>
        <v>12</v>
      </c>
      <c r="AA3" s="43">
        <f t="shared" si="3"/>
        <v>211.05160000000001</v>
      </c>
      <c r="AB3" s="43">
        <f t="shared" si="4"/>
        <v>2532.6192000000001</v>
      </c>
      <c r="AC3" s="43" t="str">
        <f>VLOOKUP($P3,APOIO!$D:$F,3,FALSE)</f>
        <v>1.2.3.8.1.02.01.02.01</v>
      </c>
      <c r="AD3" s="43">
        <f t="shared" si="5"/>
        <v>76611.730800000005</v>
      </c>
    </row>
    <row r="4" spans="1:30" x14ac:dyDescent="0.2">
      <c r="A4" s="32" t="str">
        <f ca="1">IFERROR(__xludf.DUMMYFUNCTION("CONCATENATE(""3."",APOIO!$B$2,""."",TEXT(INDEX(SPLIT(INDEX(A:A,ROW()-1,1),"".""),1,3)+1, ""00000""))"),"3.3262.00003")</f>
        <v>3.3262.00003</v>
      </c>
      <c r="B4" s="32" t="s">
        <v>100</v>
      </c>
      <c r="C4" s="32">
        <v>2141</v>
      </c>
      <c r="D4" s="32" t="s">
        <v>46</v>
      </c>
      <c r="E4" s="37" t="s">
        <v>101</v>
      </c>
      <c r="F4" s="38">
        <v>43271</v>
      </c>
      <c r="G4" s="58">
        <v>158133.75</v>
      </c>
      <c r="H4" s="37" t="s">
        <v>78</v>
      </c>
      <c r="I4" s="40" t="s">
        <v>102</v>
      </c>
      <c r="J4" s="32" t="s">
        <v>53</v>
      </c>
      <c r="K4" s="32" t="s">
        <v>103</v>
      </c>
      <c r="L4" s="41" t="str">
        <f>APOIO!$A$2</f>
        <v>EMATER</v>
      </c>
      <c r="M4" s="59">
        <f>APOIO!$B$2</f>
        <v>3262</v>
      </c>
      <c r="N4" s="43">
        <v>158133.75</v>
      </c>
      <c r="O4" s="27" t="str">
        <f>VLOOKUP($P4,APOIO!$D:$E,2,FALSE)</f>
        <v>1.2.3.2.1.01.02.01.00</v>
      </c>
      <c r="P4" s="37" t="s">
        <v>80</v>
      </c>
      <c r="Q4" s="32" t="s">
        <v>59</v>
      </c>
      <c r="R4" s="33"/>
      <c r="S4" s="33"/>
      <c r="T4" s="32" t="s">
        <v>59</v>
      </c>
      <c r="U4" s="33"/>
      <c r="V4" s="33"/>
      <c r="W4" s="33"/>
      <c r="X4" s="61">
        <f t="shared" si="0"/>
        <v>158133.75</v>
      </c>
      <c r="Y4" s="33">
        <f t="shared" si="1"/>
        <v>31626.75</v>
      </c>
      <c r="Z4" s="44">
        <f t="shared" si="2"/>
        <v>12</v>
      </c>
      <c r="AA4" s="43">
        <f t="shared" si="3"/>
        <v>421.69</v>
      </c>
      <c r="AB4" s="43">
        <f t="shared" si="4"/>
        <v>5060.28</v>
      </c>
      <c r="AC4" s="43" t="str">
        <f>VLOOKUP($P4,APOIO!$D:$F,3,FALSE)</f>
        <v>1.2.3.8.1.02.01.02.01</v>
      </c>
      <c r="AD4" s="43">
        <f t="shared" si="5"/>
        <v>153073.47</v>
      </c>
    </row>
    <row r="5" spans="1:30" x14ac:dyDescent="0.2">
      <c r="A5" s="32" t="str">
        <f ca="1">IFERROR(__xludf.DUMMYFUNCTION("CONCATENATE(""3."",APOIO!$B$2,""."",TEXT(INDEX(SPLIT(INDEX(A:A,ROW()-1,1),"".""),1,3)+1, ""00000""))"),"3.3262.00004")</f>
        <v>3.3262.00004</v>
      </c>
      <c r="B5" s="32" t="s">
        <v>104</v>
      </c>
      <c r="C5" s="32">
        <v>2443</v>
      </c>
      <c r="D5" s="32" t="s">
        <v>46</v>
      </c>
      <c r="E5" s="37" t="s">
        <v>105</v>
      </c>
      <c r="F5" s="38">
        <v>43264</v>
      </c>
      <c r="G5" s="58">
        <v>122080</v>
      </c>
      <c r="H5" s="37" t="s">
        <v>78</v>
      </c>
      <c r="I5" s="40" t="s">
        <v>106</v>
      </c>
      <c r="J5" s="32" t="s">
        <v>53</v>
      </c>
      <c r="K5" s="32" t="s">
        <v>103</v>
      </c>
      <c r="L5" s="41" t="str">
        <f>APOIO!$A$2</f>
        <v>EMATER</v>
      </c>
      <c r="M5" s="59">
        <f>APOIO!$B$2</f>
        <v>3262</v>
      </c>
      <c r="N5" s="43">
        <v>122080</v>
      </c>
      <c r="O5" s="27" t="str">
        <f>VLOOKUP($P5,APOIO!$D:$E,2,FALSE)</f>
        <v>1.2.3.2.1.01.02.01.00</v>
      </c>
      <c r="P5" s="37" t="s">
        <v>80</v>
      </c>
      <c r="Q5" s="32" t="s">
        <v>59</v>
      </c>
      <c r="R5" s="33"/>
      <c r="S5" s="33"/>
      <c r="T5" s="32" t="s">
        <v>59</v>
      </c>
      <c r="U5" s="33"/>
      <c r="V5" s="33"/>
      <c r="W5" s="33"/>
      <c r="X5" s="61">
        <f t="shared" si="0"/>
        <v>122080</v>
      </c>
      <c r="Y5" s="33">
        <f t="shared" si="1"/>
        <v>24416</v>
      </c>
      <c r="Z5" s="44">
        <f t="shared" si="2"/>
        <v>12</v>
      </c>
      <c r="AA5" s="43">
        <f t="shared" si="3"/>
        <v>325.54666666666668</v>
      </c>
      <c r="AB5" s="43">
        <f t="shared" si="4"/>
        <v>3906.5600000000004</v>
      </c>
      <c r="AC5" s="43" t="str">
        <f>VLOOKUP($P5,APOIO!$D:$F,3,FALSE)</f>
        <v>1.2.3.8.1.02.01.02.01</v>
      </c>
      <c r="AD5" s="43">
        <f t="shared" si="5"/>
        <v>118173.44</v>
      </c>
    </row>
    <row r="6" spans="1:30" x14ac:dyDescent="0.2">
      <c r="A6" s="32" t="str">
        <f ca="1">IFERROR(__xludf.DUMMYFUNCTION("CONCATENATE(""3."",APOIO!$B$2,""."",TEXT(INDEX(SPLIT(INDEX(A:A,ROW()-1,1),"".""),1,3)+1, ""00000""))"),"3.3262.00005")</f>
        <v>3.3262.00005</v>
      </c>
      <c r="B6" s="32" t="s">
        <v>107</v>
      </c>
      <c r="C6" s="32">
        <v>1668</v>
      </c>
      <c r="D6" s="32" t="s">
        <v>46</v>
      </c>
      <c r="E6" s="37" t="s">
        <v>108</v>
      </c>
      <c r="F6" s="38">
        <v>43654</v>
      </c>
      <c r="G6" s="58">
        <v>250000</v>
      </c>
      <c r="H6" s="37" t="s">
        <v>78</v>
      </c>
      <c r="I6" s="40" t="s">
        <v>109</v>
      </c>
      <c r="J6" s="32" t="s">
        <v>53</v>
      </c>
      <c r="K6" s="32" t="s">
        <v>54</v>
      </c>
      <c r="L6" s="41" t="str">
        <f>APOIO!$A$2</f>
        <v>EMATER</v>
      </c>
      <c r="M6" s="59">
        <f>APOIO!$B$2</f>
        <v>3262</v>
      </c>
      <c r="N6" s="43">
        <v>250000</v>
      </c>
      <c r="O6" s="27" t="str">
        <f>VLOOKUP($P6,APOIO!$D:$E,2,FALSE)</f>
        <v>1.2.3.2.1.01.02.01.00</v>
      </c>
      <c r="P6" s="37" t="s">
        <v>80</v>
      </c>
      <c r="Q6" s="32" t="s">
        <v>59</v>
      </c>
      <c r="R6" s="33"/>
      <c r="S6" s="33"/>
      <c r="T6" s="32" t="s">
        <v>59</v>
      </c>
      <c r="U6" s="33"/>
      <c r="V6" s="33"/>
      <c r="W6" s="33"/>
      <c r="X6" s="61">
        <f t="shared" si="0"/>
        <v>250000</v>
      </c>
      <c r="Y6" s="33">
        <f t="shared" si="1"/>
        <v>50000</v>
      </c>
      <c r="Z6" s="44">
        <f t="shared" si="2"/>
        <v>12</v>
      </c>
      <c r="AA6" s="43">
        <f t="shared" si="3"/>
        <v>666.66666666666663</v>
      </c>
      <c r="AB6" s="43">
        <f t="shared" si="4"/>
        <v>8000</v>
      </c>
      <c r="AC6" s="43" t="str">
        <f>VLOOKUP($P6,APOIO!$D:$F,3,FALSE)</f>
        <v>1.2.3.8.1.02.01.02.01</v>
      </c>
      <c r="AD6" s="43">
        <f t="shared" si="5"/>
        <v>242000</v>
      </c>
    </row>
    <row r="7" spans="1:30" x14ac:dyDescent="0.2">
      <c r="A7" s="32" t="str">
        <f ca="1">IFERROR(__xludf.DUMMYFUNCTION("CONCATENATE(""3."",APOIO!$B$2,""."",TEXT(INDEX(SPLIT(INDEX(A:A,ROW()-1,1),"".""),1,3)+1, ""00000""))"),"3.3262.00006")</f>
        <v>3.3262.00006</v>
      </c>
      <c r="B7" s="32" t="s">
        <v>110</v>
      </c>
      <c r="C7" s="32">
        <v>797</v>
      </c>
      <c r="D7" s="32" t="s">
        <v>46</v>
      </c>
      <c r="E7" s="37" t="s">
        <v>111</v>
      </c>
      <c r="F7" s="38">
        <v>43290</v>
      </c>
      <c r="G7" s="58">
        <v>22367.360000000001</v>
      </c>
      <c r="H7" s="37" t="s">
        <v>78</v>
      </c>
      <c r="I7" s="40" t="s">
        <v>112</v>
      </c>
      <c r="J7" s="32" t="s">
        <v>53</v>
      </c>
      <c r="K7" s="32" t="s">
        <v>103</v>
      </c>
      <c r="L7" s="41" t="str">
        <f>APOIO!$A$2</f>
        <v>EMATER</v>
      </c>
      <c r="M7" s="59">
        <f>APOIO!$B$2</f>
        <v>3262</v>
      </c>
      <c r="N7" s="43">
        <v>22367.360000000001</v>
      </c>
      <c r="O7" s="27" t="str">
        <f>VLOOKUP($P7,APOIO!$D:$E,2,FALSE)</f>
        <v>1.2.3.2.1.01.02.01.00</v>
      </c>
      <c r="P7" s="37" t="s">
        <v>80</v>
      </c>
      <c r="Q7" s="32" t="s">
        <v>59</v>
      </c>
      <c r="R7" s="33"/>
      <c r="S7" s="33"/>
      <c r="T7" s="32" t="s">
        <v>59</v>
      </c>
      <c r="U7" s="33"/>
      <c r="V7" s="33"/>
      <c r="W7" s="33"/>
      <c r="X7" s="61">
        <f t="shared" si="0"/>
        <v>22367.360000000001</v>
      </c>
      <c r="Y7" s="33">
        <f t="shared" si="1"/>
        <v>4473.4719999999998</v>
      </c>
      <c r="Z7" s="44">
        <f t="shared" si="2"/>
        <v>12</v>
      </c>
      <c r="AA7" s="43">
        <f t="shared" si="3"/>
        <v>59.646293333333325</v>
      </c>
      <c r="AB7" s="43">
        <f t="shared" si="4"/>
        <v>715.75551999999993</v>
      </c>
      <c r="AC7" s="43" t="str">
        <f>VLOOKUP($P7,APOIO!$D:$F,3,FALSE)</f>
        <v>1.2.3.8.1.02.01.02.01</v>
      </c>
      <c r="AD7" s="43">
        <f t="shared" si="5"/>
        <v>21651.604480000002</v>
      </c>
    </row>
    <row r="8" spans="1:30" x14ac:dyDescent="0.2">
      <c r="A8" s="32" t="str">
        <f ca="1">IFERROR(__xludf.DUMMYFUNCTION("CONCATENATE(""3."",APOIO!$B$2,""."",TEXT(INDEX(SPLIT(INDEX(A:A,ROW()-1,1),"".""),1,3)+1, ""00000""))"),"3.3262.00007")</f>
        <v>3.3262.00007</v>
      </c>
      <c r="B8" s="32" t="s">
        <v>110</v>
      </c>
      <c r="C8" s="32">
        <v>2720</v>
      </c>
      <c r="D8" s="32" t="s">
        <v>46</v>
      </c>
      <c r="E8" s="37" t="s">
        <v>113</v>
      </c>
      <c r="F8" s="38">
        <v>42640</v>
      </c>
      <c r="G8" s="58">
        <v>10138448.91</v>
      </c>
      <c r="H8" s="37" t="s">
        <v>114</v>
      </c>
      <c r="I8" s="40" t="s">
        <v>115</v>
      </c>
      <c r="J8" s="32" t="s">
        <v>116</v>
      </c>
      <c r="K8" s="32" t="s">
        <v>103</v>
      </c>
      <c r="L8" s="41" t="str">
        <f>APOIO!$A$2</f>
        <v>EMATER</v>
      </c>
      <c r="M8" s="59">
        <f>APOIO!$B$2</f>
        <v>3262</v>
      </c>
      <c r="N8" s="43">
        <v>10138448.91</v>
      </c>
      <c r="O8" s="27" t="str">
        <f>VLOOKUP($P8,APOIO!$D:$E,2,FALSE)</f>
        <v>1.2.3.2.1.01.10.01.00</v>
      </c>
      <c r="P8" s="37" t="s">
        <v>117</v>
      </c>
      <c r="Q8" s="32" t="s">
        <v>59</v>
      </c>
      <c r="R8" s="33"/>
      <c r="S8" s="33"/>
      <c r="T8" s="32" t="s">
        <v>59</v>
      </c>
      <c r="U8" s="33"/>
      <c r="V8" s="33"/>
      <c r="W8" s="33"/>
      <c r="X8" s="61">
        <f t="shared" si="0"/>
        <v>10138448.91</v>
      </c>
      <c r="Y8" s="33">
        <f t="shared" si="1"/>
        <v>0</v>
      </c>
      <c r="Z8" s="44">
        <f t="shared" si="2"/>
        <v>0</v>
      </c>
      <c r="AA8" s="43">
        <f t="shared" si="3"/>
        <v>0</v>
      </c>
      <c r="AB8" s="43">
        <f t="shared" si="4"/>
        <v>0</v>
      </c>
      <c r="AC8" s="43" t="str">
        <f>VLOOKUP($P8,APOIO!$D:$F,3,FALSE)</f>
        <v>1.2.3.8.1.02.01.10.01</v>
      </c>
      <c r="AD8" s="43">
        <f t="shared" si="5"/>
        <v>10138448.91</v>
      </c>
    </row>
    <row r="9" spans="1:30" x14ac:dyDescent="0.2">
      <c r="A9" s="32" t="str">
        <f ca="1">IFERROR(__xludf.DUMMYFUNCTION("CONCATENATE(""3."",APOIO!$B$2,""."",TEXT(INDEX(SPLIT(INDEX(A:A,ROW()-1,1),"".""),1,3)+1, ""00000""))"),"3.3262.00008")</f>
        <v>3.3262.00008</v>
      </c>
      <c r="B9" s="32" t="s">
        <v>118</v>
      </c>
      <c r="C9" s="32">
        <v>765</v>
      </c>
      <c r="D9" s="32" t="s">
        <v>46</v>
      </c>
      <c r="E9" s="37" t="s">
        <v>119</v>
      </c>
      <c r="F9" s="38">
        <v>43315</v>
      </c>
      <c r="G9" s="58">
        <v>165000</v>
      </c>
      <c r="H9" s="37" t="s">
        <v>78</v>
      </c>
      <c r="I9" s="40" t="s">
        <v>120</v>
      </c>
      <c r="J9" s="32" t="s">
        <v>53</v>
      </c>
      <c r="K9" s="32" t="s">
        <v>54</v>
      </c>
      <c r="L9" s="41" t="str">
        <f>APOIO!$A$2</f>
        <v>EMATER</v>
      </c>
      <c r="M9" s="59">
        <f>APOIO!$B$2</f>
        <v>3262</v>
      </c>
      <c r="N9" s="43">
        <v>165000</v>
      </c>
      <c r="O9" s="27" t="str">
        <f>VLOOKUP($P9,APOIO!$D:$E,2,FALSE)</f>
        <v>1.2.3.2.1.01.02.01.00</v>
      </c>
      <c r="P9" s="37" t="s">
        <v>80</v>
      </c>
      <c r="Q9" s="32" t="s">
        <v>59</v>
      </c>
      <c r="R9" s="33"/>
      <c r="S9" s="33"/>
      <c r="T9" s="32" t="s">
        <v>59</v>
      </c>
      <c r="U9" s="33"/>
      <c r="V9" s="33"/>
      <c r="W9" s="33"/>
      <c r="X9" s="61">
        <f t="shared" si="0"/>
        <v>165000</v>
      </c>
      <c r="Y9" s="33">
        <f t="shared" si="1"/>
        <v>33000</v>
      </c>
      <c r="Z9" s="44">
        <f t="shared" si="2"/>
        <v>12</v>
      </c>
      <c r="AA9" s="43">
        <f t="shared" si="3"/>
        <v>440</v>
      </c>
      <c r="AB9" s="43">
        <f t="shared" si="4"/>
        <v>5280</v>
      </c>
      <c r="AC9" s="43" t="str">
        <f>VLOOKUP($P9,APOIO!$D:$F,3,FALSE)</f>
        <v>1.2.3.8.1.02.01.02.01</v>
      </c>
      <c r="AD9" s="43">
        <f t="shared" si="5"/>
        <v>159720</v>
      </c>
    </row>
    <row r="10" spans="1:30" x14ac:dyDescent="0.2">
      <c r="A10" s="32" t="str">
        <f ca="1">IFERROR(__xludf.DUMMYFUNCTION("CONCATENATE(""3."",APOIO!$B$2,""."",TEXT(INDEX(SPLIT(INDEX(A:A,ROW()-1,1),"".""),1,3)+1, ""00000""))"),"3.3262.00009")</f>
        <v>3.3262.00009</v>
      </c>
      <c r="B10" s="32" t="s">
        <v>121</v>
      </c>
      <c r="C10" s="32">
        <v>1808</v>
      </c>
      <c r="D10" s="32" t="s">
        <v>46</v>
      </c>
      <c r="E10" s="37" t="s">
        <v>122</v>
      </c>
      <c r="F10" s="38">
        <v>43337</v>
      </c>
      <c r="G10" s="58">
        <v>150000</v>
      </c>
      <c r="H10" s="37" t="s">
        <v>78</v>
      </c>
      <c r="I10" s="40" t="s">
        <v>123</v>
      </c>
      <c r="J10" s="32" t="s">
        <v>53</v>
      </c>
      <c r="K10" s="32" t="s">
        <v>103</v>
      </c>
      <c r="L10" s="41" t="str">
        <f>APOIO!$A$2</f>
        <v>EMATER</v>
      </c>
      <c r="M10" s="59">
        <f>APOIO!$B$2</f>
        <v>3262</v>
      </c>
      <c r="N10" s="43">
        <v>150000</v>
      </c>
      <c r="O10" s="27" t="str">
        <f>VLOOKUP($P10,APOIO!$D:$E,2,FALSE)</f>
        <v>1.2.3.2.1.01.02.01.00</v>
      </c>
      <c r="P10" s="37" t="s">
        <v>80</v>
      </c>
      <c r="Q10" s="32" t="s">
        <v>59</v>
      </c>
      <c r="R10" s="33"/>
      <c r="S10" s="33"/>
      <c r="T10" s="32" t="s">
        <v>59</v>
      </c>
      <c r="U10" s="33"/>
      <c r="V10" s="33"/>
      <c r="W10" s="33"/>
      <c r="X10" s="61">
        <f t="shared" si="0"/>
        <v>150000</v>
      </c>
      <c r="Y10" s="33">
        <f t="shared" si="1"/>
        <v>30000</v>
      </c>
      <c r="Z10" s="44">
        <f t="shared" si="2"/>
        <v>12</v>
      </c>
      <c r="AA10" s="43">
        <f t="shared" si="3"/>
        <v>400</v>
      </c>
      <c r="AB10" s="43">
        <f t="shared" si="4"/>
        <v>4800</v>
      </c>
      <c r="AC10" s="43" t="str">
        <f>VLOOKUP($P10,APOIO!$D:$F,3,FALSE)</f>
        <v>1.2.3.8.1.02.01.02.01</v>
      </c>
      <c r="AD10" s="43">
        <f t="shared" si="5"/>
        <v>145200</v>
      </c>
    </row>
    <row r="11" spans="1:30" x14ac:dyDescent="0.2">
      <c r="A11" s="32" t="str">
        <f ca="1">IFERROR(__xludf.DUMMYFUNCTION("CONCATENATE(""3."",APOIO!$B$2,""."",TEXT(INDEX(SPLIT(INDEX(A:A,ROW()-1,1),"".""),1,3)+1, ""00000""))"),"3.3262.00010")</f>
        <v>3.3262.00010</v>
      </c>
      <c r="B11" s="32" t="s">
        <v>124</v>
      </c>
      <c r="C11" s="32">
        <v>2375</v>
      </c>
      <c r="D11" s="32" t="s">
        <v>46</v>
      </c>
      <c r="E11" s="37" t="s">
        <v>125</v>
      </c>
      <c r="F11" s="38">
        <v>43262</v>
      </c>
      <c r="G11" s="58">
        <v>121669.95</v>
      </c>
      <c r="H11" s="37" t="s">
        <v>78</v>
      </c>
      <c r="I11" s="40" t="s">
        <v>126</v>
      </c>
      <c r="J11" s="32" t="s">
        <v>53</v>
      </c>
      <c r="K11" s="32" t="s">
        <v>103</v>
      </c>
      <c r="L11" s="41" t="str">
        <f>APOIO!$A$2</f>
        <v>EMATER</v>
      </c>
      <c r="M11" s="59">
        <f>APOIO!$B$2</f>
        <v>3262</v>
      </c>
      <c r="N11" s="43">
        <v>121669.95</v>
      </c>
      <c r="O11" s="27" t="str">
        <f>VLOOKUP($P11,APOIO!$D:$E,2,FALSE)</f>
        <v>1.2.3.2.1.01.02.01.00</v>
      </c>
      <c r="P11" s="37" t="s">
        <v>80</v>
      </c>
      <c r="Q11" s="32" t="s">
        <v>59</v>
      </c>
      <c r="R11" s="33"/>
      <c r="S11" s="33"/>
      <c r="T11" s="32" t="s">
        <v>59</v>
      </c>
      <c r="U11" s="33"/>
      <c r="V11" s="33"/>
      <c r="W11" s="33"/>
      <c r="X11" s="61">
        <f t="shared" si="0"/>
        <v>121669.95</v>
      </c>
      <c r="Y11" s="33">
        <f t="shared" si="1"/>
        <v>24333.99</v>
      </c>
      <c r="Z11" s="44">
        <f t="shared" si="2"/>
        <v>12</v>
      </c>
      <c r="AA11" s="43">
        <f t="shared" si="3"/>
        <v>324.45319999999998</v>
      </c>
      <c r="AB11" s="43">
        <f t="shared" si="4"/>
        <v>3893.4384</v>
      </c>
      <c r="AC11" s="43" t="str">
        <f>VLOOKUP($P11,APOIO!$D:$F,3,FALSE)</f>
        <v>1.2.3.8.1.02.01.02.01</v>
      </c>
      <c r="AD11" s="43">
        <f t="shared" si="5"/>
        <v>117776.5116</v>
      </c>
    </row>
    <row r="12" spans="1:30" x14ac:dyDescent="0.2">
      <c r="A12" s="32" t="str">
        <f ca="1">IFERROR(__xludf.DUMMYFUNCTION("CONCATENATE(""3."",APOIO!$B$2,""."",TEXT(INDEX(SPLIT(INDEX(A:A,ROW()-1,1),"".""),1,3)+1, ""00000""))"),"3.3262.00011")</f>
        <v>3.3262.00011</v>
      </c>
      <c r="B12" s="32" t="s">
        <v>127</v>
      </c>
      <c r="C12" s="32">
        <v>6</v>
      </c>
      <c r="D12" s="32" t="s">
        <v>46</v>
      </c>
      <c r="E12" s="37" t="s">
        <v>128</v>
      </c>
      <c r="F12" s="38">
        <v>43340</v>
      </c>
      <c r="G12" s="58">
        <v>62146.42</v>
      </c>
      <c r="H12" s="37" t="s">
        <v>78</v>
      </c>
      <c r="I12" s="40" t="s">
        <v>129</v>
      </c>
      <c r="J12" s="32" t="s">
        <v>53</v>
      </c>
      <c r="K12" s="32" t="s">
        <v>103</v>
      </c>
      <c r="L12" s="41" t="str">
        <f>APOIO!$A$2</f>
        <v>EMATER</v>
      </c>
      <c r="M12" s="59">
        <f>APOIO!$B$2</f>
        <v>3262</v>
      </c>
      <c r="N12" s="43">
        <v>62146.42</v>
      </c>
      <c r="O12" s="27" t="str">
        <f>VLOOKUP($P12,APOIO!$D:$E,2,FALSE)</f>
        <v>1.2.3.2.1.01.02.01.00</v>
      </c>
      <c r="P12" s="37" t="s">
        <v>80</v>
      </c>
      <c r="Q12" s="32" t="s">
        <v>59</v>
      </c>
      <c r="R12" s="33"/>
      <c r="S12" s="33"/>
      <c r="T12" s="32" t="s">
        <v>59</v>
      </c>
      <c r="U12" s="33"/>
      <c r="V12" s="33"/>
      <c r="W12" s="33"/>
      <c r="X12" s="61">
        <f t="shared" si="0"/>
        <v>62146.42</v>
      </c>
      <c r="Y12" s="33">
        <f t="shared" si="1"/>
        <v>12429.284</v>
      </c>
      <c r="Z12" s="44">
        <f t="shared" si="2"/>
        <v>12</v>
      </c>
      <c r="AA12" s="43">
        <f t="shared" si="3"/>
        <v>165.72378666666665</v>
      </c>
      <c r="AB12" s="43">
        <f t="shared" si="4"/>
        <v>1988.6854399999997</v>
      </c>
      <c r="AC12" s="43" t="str">
        <f>VLOOKUP($P12,APOIO!$D:$F,3,FALSE)</f>
        <v>1.2.3.8.1.02.01.02.01</v>
      </c>
      <c r="AD12" s="43">
        <f t="shared" si="5"/>
        <v>60157.734559999997</v>
      </c>
    </row>
    <row r="13" spans="1:30" x14ac:dyDescent="0.2">
      <c r="A13" s="32" t="str">
        <f ca="1">IFERROR(__xludf.DUMMYFUNCTION("CONCATENATE(""3."",APOIO!$B$2,""."",TEXT(INDEX(SPLIT(INDEX(A:A,ROW()-1,1),"".""),1,3)+1, ""00000""))"),"3.3262.00012")</f>
        <v>3.3262.00012</v>
      </c>
      <c r="B13" s="32" t="s">
        <v>130</v>
      </c>
      <c r="C13" s="32">
        <v>1776</v>
      </c>
      <c r="D13" s="32" t="s">
        <v>46</v>
      </c>
      <c r="E13" s="37" t="s">
        <v>131</v>
      </c>
      <c r="F13" s="38">
        <v>43332</v>
      </c>
      <c r="G13" s="58">
        <v>88010</v>
      </c>
      <c r="H13" s="37" t="s">
        <v>78</v>
      </c>
      <c r="I13" s="40" t="s">
        <v>132</v>
      </c>
      <c r="J13" s="32" t="s">
        <v>53</v>
      </c>
      <c r="K13" s="32" t="s">
        <v>103</v>
      </c>
      <c r="L13" s="41" t="str">
        <f>APOIO!$A$2</f>
        <v>EMATER</v>
      </c>
      <c r="M13" s="59">
        <f>APOIO!$B$2</f>
        <v>3262</v>
      </c>
      <c r="N13" s="43">
        <v>88010</v>
      </c>
      <c r="O13" s="27" t="str">
        <f>VLOOKUP($P13,APOIO!$D:$E,2,FALSE)</f>
        <v>1.2.3.2.1.01.02.01.00</v>
      </c>
      <c r="P13" s="37" t="s">
        <v>80</v>
      </c>
      <c r="Q13" s="32" t="s">
        <v>59</v>
      </c>
      <c r="R13" s="33"/>
      <c r="S13" s="33"/>
      <c r="T13" s="32" t="s">
        <v>59</v>
      </c>
      <c r="U13" s="33"/>
      <c r="V13" s="33"/>
      <c r="W13" s="33"/>
      <c r="X13" s="61">
        <f t="shared" si="0"/>
        <v>88010</v>
      </c>
      <c r="Y13" s="33">
        <f t="shared" si="1"/>
        <v>17602</v>
      </c>
      <c r="Z13" s="44">
        <f t="shared" si="2"/>
        <v>12</v>
      </c>
      <c r="AA13" s="43">
        <f t="shared" si="3"/>
        <v>234.69333333333336</v>
      </c>
      <c r="AB13" s="43">
        <f t="shared" si="4"/>
        <v>2816.32</v>
      </c>
      <c r="AC13" s="43" t="str">
        <f>VLOOKUP($P13,APOIO!$D:$F,3,FALSE)</f>
        <v>1.2.3.8.1.02.01.02.01</v>
      </c>
      <c r="AD13" s="43">
        <f t="shared" si="5"/>
        <v>85193.68</v>
      </c>
    </row>
    <row r="14" spans="1:30" x14ac:dyDescent="0.2">
      <c r="A14" s="32" t="str">
        <f ca="1">IFERROR(__xludf.DUMMYFUNCTION("CONCATENATE(""3."",APOIO!$B$2,""."",TEXT(INDEX(SPLIT(INDEX(A:A,ROW()-1,1),"".""),1,3)+1, ""00000""))"),"3.3262.00013")</f>
        <v>3.3262.00013</v>
      </c>
      <c r="B14" s="32" t="s">
        <v>133</v>
      </c>
      <c r="C14" s="32">
        <v>1689</v>
      </c>
      <c r="D14" s="32" t="s">
        <v>46</v>
      </c>
      <c r="E14" s="37" t="s">
        <v>134</v>
      </c>
      <c r="F14" s="38">
        <v>43220</v>
      </c>
      <c r="G14" s="58">
        <v>29785.71</v>
      </c>
      <c r="H14" s="37" t="s">
        <v>78</v>
      </c>
      <c r="I14" s="40" t="s">
        <v>135</v>
      </c>
      <c r="J14" s="32" t="s">
        <v>53</v>
      </c>
      <c r="K14" s="32" t="s">
        <v>103</v>
      </c>
      <c r="L14" s="41" t="str">
        <f>APOIO!$A$2</f>
        <v>EMATER</v>
      </c>
      <c r="M14" s="59">
        <f>APOIO!$B$2</f>
        <v>3262</v>
      </c>
      <c r="N14" s="43">
        <v>29785.71</v>
      </c>
      <c r="O14" s="27" t="str">
        <f>VLOOKUP($P14,APOIO!$D:$E,2,FALSE)</f>
        <v>1.2.3.2.1.01.02.01.00</v>
      </c>
      <c r="P14" s="37" t="s">
        <v>80</v>
      </c>
      <c r="Q14" s="32" t="s">
        <v>59</v>
      </c>
      <c r="R14" s="33"/>
      <c r="S14" s="33"/>
      <c r="T14" s="32" t="s">
        <v>59</v>
      </c>
      <c r="U14" s="33"/>
      <c r="V14" s="33"/>
      <c r="W14" s="33"/>
      <c r="X14" s="61">
        <f t="shared" si="0"/>
        <v>29785.71</v>
      </c>
      <c r="Y14" s="33">
        <f t="shared" si="1"/>
        <v>5957.1419999999998</v>
      </c>
      <c r="Z14" s="44">
        <f t="shared" si="2"/>
        <v>12</v>
      </c>
      <c r="AA14" s="43">
        <f t="shared" si="3"/>
        <v>79.42855999999999</v>
      </c>
      <c r="AB14" s="43">
        <f t="shared" si="4"/>
        <v>953.14271999999983</v>
      </c>
      <c r="AC14" s="43" t="str">
        <f>VLOOKUP($P14,APOIO!$D:$F,3,FALSE)</f>
        <v>1.2.3.8.1.02.01.02.01</v>
      </c>
      <c r="AD14" s="43">
        <f t="shared" si="5"/>
        <v>28832.567279999999</v>
      </c>
    </row>
    <row r="15" spans="1:30" x14ac:dyDescent="0.2">
      <c r="A15" s="32" t="str">
        <f ca="1">IFERROR(__xludf.DUMMYFUNCTION("CONCATENATE(""3."",APOIO!$B$2,""."",TEXT(INDEX(SPLIT(INDEX(A:A,ROW()-1,1),"".""),1,3)+1, ""00000""))"),"3.3262.00014")</f>
        <v>3.3262.00014</v>
      </c>
      <c r="B15" s="32" t="s">
        <v>136</v>
      </c>
      <c r="C15" s="32">
        <v>1787</v>
      </c>
      <c r="D15" s="32" t="s">
        <v>46</v>
      </c>
      <c r="E15" s="37" t="s">
        <v>98</v>
      </c>
      <c r="F15" s="38">
        <v>43244</v>
      </c>
      <c r="G15" s="58">
        <v>22840</v>
      </c>
      <c r="H15" s="37" t="s">
        <v>78</v>
      </c>
      <c r="I15" s="40" t="s">
        <v>137</v>
      </c>
      <c r="J15" s="32" t="s">
        <v>53</v>
      </c>
      <c r="K15" s="32" t="s">
        <v>103</v>
      </c>
      <c r="L15" s="41" t="str">
        <f>APOIO!$A$2</f>
        <v>EMATER</v>
      </c>
      <c r="M15" s="59">
        <f>APOIO!$B$2</f>
        <v>3262</v>
      </c>
      <c r="N15" s="43">
        <v>22840</v>
      </c>
      <c r="O15" s="27" t="str">
        <f>VLOOKUP($P15,APOIO!$D:$E,2,FALSE)</f>
        <v>1.2.3.2.1.01.02.01.00</v>
      </c>
      <c r="P15" s="37" t="s">
        <v>80</v>
      </c>
      <c r="Q15" s="32" t="s">
        <v>59</v>
      </c>
      <c r="R15" s="33"/>
      <c r="S15" s="33"/>
      <c r="T15" s="32" t="s">
        <v>59</v>
      </c>
      <c r="U15" s="33"/>
      <c r="V15" s="33"/>
      <c r="W15" s="33"/>
      <c r="X15" s="61">
        <f t="shared" si="0"/>
        <v>22840</v>
      </c>
      <c r="Y15" s="33">
        <f t="shared" si="1"/>
        <v>4568</v>
      </c>
      <c r="Z15" s="44">
        <f t="shared" si="2"/>
        <v>12</v>
      </c>
      <c r="AA15" s="43">
        <f t="shared" si="3"/>
        <v>60.906666666666666</v>
      </c>
      <c r="AB15" s="43">
        <f t="shared" si="4"/>
        <v>730.88</v>
      </c>
      <c r="AC15" s="43" t="str">
        <f>VLOOKUP($P15,APOIO!$D:$F,3,FALSE)</f>
        <v>1.2.3.8.1.02.01.02.01</v>
      </c>
      <c r="AD15" s="43">
        <f t="shared" si="5"/>
        <v>22109.119999999999</v>
      </c>
    </row>
    <row r="16" spans="1:30" x14ac:dyDescent="0.2">
      <c r="A16" s="32" t="str">
        <f ca="1">IFERROR(__xludf.DUMMYFUNCTION("CONCATENATE(""3."",APOIO!$B$2,""."",TEXT(INDEX(SPLIT(INDEX(A:A,ROW()-1,1),"".""),1,3)+1, ""00000""))"),"3.3262.00015")</f>
        <v>3.3262.00015</v>
      </c>
      <c r="B16" s="32" t="s">
        <v>138</v>
      </c>
      <c r="C16" s="32">
        <v>1929</v>
      </c>
      <c r="D16" s="32" t="s">
        <v>46</v>
      </c>
      <c r="E16" s="37" t="s">
        <v>139</v>
      </c>
      <c r="F16" s="38">
        <v>43293</v>
      </c>
      <c r="G16" s="58">
        <v>181778.1</v>
      </c>
      <c r="H16" s="37" t="s">
        <v>140</v>
      </c>
      <c r="I16" s="40" t="s">
        <v>141</v>
      </c>
      <c r="J16" s="32" t="s">
        <v>53</v>
      </c>
      <c r="K16" s="32" t="s">
        <v>54</v>
      </c>
      <c r="L16" s="41" t="str">
        <f>APOIO!$A$2</f>
        <v>EMATER</v>
      </c>
      <c r="M16" s="59">
        <f>APOIO!$B$2</f>
        <v>3262</v>
      </c>
      <c r="N16" s="43">
        <v>181778.1</v>
      </c>
      <c r="O16" s="27" t="str">
        <f>VLOOKUP($P16,APOIO!$D:$E,2,FALSE)</f>
        <v>1.2.3.2.1.01.02.01.00</v>
      </c>
      <c r="P16" s="37" t="s">
        <v>80</v>
      </c>
      <c r="Q16" s="32" t="s">
        <v>59</v>
      </c>
      <c r="R16" s="33"/>
      <c r="S16" s="33"/>
      <c r="T16" s="32" t="s">
        <v>59</v>
      </c>
      <c r="U16" s="33"/>
      <c r="V16" s="33"/>
      <c r="W16" s="33"/>
      <c r="X16" s="61">
        <f t="shared" si="0"/>
        <v>181778.1</v>
      </c>
      <c r="Y16" s="33">
        <f t="shared" si="1"/>
        <v>36355.620000000003</v>
      </c>
      <c r="Z16" s="44">
        <f t="shared" si="2"/>
        <v>12</v>
      </c>
      <c r="AA16" s="43">
        <f t="shared" si="3"/>
        <v>484.74160000000006</v>
      </c>
      <c r="AB16" s="43">
        <f t="shared" si="4"/>
        <v>5816.8992000000007</v>
      </c>
      <c r="AC16" s="43" t="str">
        <f>VLOOKUP($P16,APOIO!$D:$F,3,FALSE)</f>
        <v>1.2.3.8.1.02.01.02.01</v>
      </c>
      <c r="AD16" s="43">
        <f t="shared" si="5"/>
        <v>175961.20079999999</v>
      </c>
    </row>
    <row r="17" spans="1:30" x14ac:dyDescent="0.2">
      <c r="A17" s="32" t="str">
        <f ca="1">IFERROR(__xludf.DUMMYFUNCTION("CONCATENATE(""3."",APOIO!$B$2,""."",TEXT(INDEX(SPLIT(INDEX(A:A,ROW()-1,1),"".""),1,3)+1, ""00000""))"),"3.3262.00016")</f>
        <v>3.3262.00016</v>
      </c>
      <c r="B17" s="32" t="s">
        <v>142</v>
      </c>
      <c r="C17" s="32">
        <v>20021</v>
      </c>
      <c r="D17" s="32" t="s">
        <v>46</v>
      </c>
      <c r="E17" s="37" t="s">
        <v>143</v>
      </c>
      <c r="F17" s="39">
        <v>42023</v>
      </c>
      <c r="G17" s="58">
        <v>134425.44</v>
      </c>
      <c r="H17" s="37" t="s">
        <v>140</v>
      </c>
      <c r="I17" s="40" t="s">
        <v>144</v>
      </c>
      <c r="J17" s="32" t="s">
        <v>53</v>
      </c>
      <c r="K17" s="32" t="s">
        <v>103</v>
      </c>
      <c r="L17" s="41" t="str">
        <f>APOIO!$A$2</f>
        <v>EMATER</v>
      </c>
      <c r="M17" s="59">
        <f>APOIO!$B$2</f>
        <v>3262</v>
      </c>
      <c r="N17" s="43">
        <v>134425.44</v>
      </c>
      <c r="O17" s="27" t="str">
        <f>VLOOKUP($P17,APOIO!$D:$E,2,FALSE)</f>
        <v>1.2.3.2.1.01.02.01.00</v>
      </c>
      <c r="P17" s="37" t="s">
        <v>80</v>
      </c>
      <c r="Q17" s="32" t="s">
        <v>59</v>
      </c>
      <c r="R17" s="33"/>
      <c r="S17" s="33"/>
      <c r="T17" s="32" t="s">
        <v>59</v>
      </c>
      <c r="U17" s="33"/>
      <c r="V17" s="33"/>
      <c r="W17" s="33"/>
      <c r="X17" s="61">
        <f t="shared" si="0"/>
        <v>134425.44</v>
      </c>
      <c r="Y17" s="33">
        <f t="shared" si="1"/>
        <v>26885.088</v>
      </c>
      <c r="Z17" s="44">
        <f t="shared" si="2"/>
        <v>12</v>
      </c>
      <c r="AA17" s="43">
        <f t="shared" si="3"/>
        <v>358.46784000000002</v>
      </c>
      <c r="AB17" s="43">
        <f t="shared" si="4"/>
        <v>4301.6140800000003</v>
      </c>
      <c r="AC17" s="43" t="str">
        <f>VLOOKUP($P17,APOIO!$D:$F,3,FALSE)</f>
        <v>1.2.3.8.1.02.01.02.01</v>
      </c>
      <c r="AD17" s="43">
        <f t="shared" si="5"/>
        <v>130123.82592</v>
      </c>
    </row>
    <row r="18" spans="1:30" x14ac:dyDescent="0.2">
      <c r="A18" s="32" t="str">
        <f ca="1">IFERROR(__xludf.DUMMYFUNCTION("CONCATENATE(""3."",APOIO!$B$2,""."",TEXT(INDEX(SPLIT(INDEX(A:A,ROW()-1,1),"".""),1,3)+1, ""00000""))"),"3.3262.00017")</f>
        <v>3.3262.00017</v>
      </c>
      <c r="B18" s="32" t="s">
        <v>145</v>
      </c>
      <c r="C18" s="32">
        <v>2122</v>
      </c>
      <c r="D18" s="32" t="s">
        <v>46</v>
      </c>
      <c r="E18" s="37" t="s">
        <v>146</v>
      </c>
      <c r="F18" s="38">
        <v>43193</v>
      </c>
      <c r="G18" s="58">
        <v>143653.69</v>
      </c>
      <c r="H18" s="37" t="s">
        <v>78</v>
      </c>
      <c r="I18" s="40" t="s">
        <v>147</v>
      </c>
      <c r="J18" s="32" t="s">
        <v>53</v>
      </c>
      <c r="K18" s="32" t="s">
        <v>103</v>
      </c>
      <c r="L18" s="41" t="str">
        <f>APOIO!$A$2</f>
        <v>EMATER</v>
      </c>
      <c r="M18" s="59">
        <f>APOIO!$B$2</f>
        <v>3262</v>
      </c>
      <c r="N18" s="43">
        <v>143653.69</v>
      </c>
      <c r="O18" s="27" t="str">
        <f>VLOOKUP($P18,APOIO!$D:$E,2,FALSE)</f>
        <v>1.2.3.2.1.01.02.01.00</v>
      </c>
      <c r="P18" s="37" t="s">
        <v>80</v>
      </c>
      <c r="Q18" s="32" t="s">
        <v>59</v>
      </c>
      <c r="R18" s="33"/>
      <c r="S18" s="33"/>
      <c r="T18" s="32" t="s">
        <v>59</v>
      </c>
      <c r="U18" s="33"/>
      <c r="V18" s="33"/>
      <c r="W18" s="33"/>
      <c r="X18" s="61">
        <f t="shared" si="0"/>
        <v>143653.69</v>
      </c>
      <c r="Y18" s="33">
        <f t="shared" si="1"/>
        <v>28730.737999999998</v>
      </c>
      <c r="Z18" s="44">
        <f t="shared" si="2"/>
        <v>12</v>
      </c>
      <c r="AA18" s="43">
        <f t="shared" si="3"/>
        <v>383.07650666666672</v>
      </c>
      <c r="AB18" s="43">
        <f t="shared" si="4"/>
        <v>4596.9180800000004</v>
      </c>
      <c r="AC18" s="43" t="str">
        <f>VLOOKUP($P18,APOIO!$D:$F,3,FALSE)</f>
        <v>1.2.3.8.1.02.01.02.01</v>
      </c>
      <c r="AD18" s="43">
        <f t="shared" si="5"/>
        <v>139056.77192</v>
      </c>
    </row>
    <row r="19" spans="1:30" x14ac:dyDescent="0.2">
      <c r="A19" s="32" t="str">
        <f ca="1">IFERROR(__xludf.DUMMYFUNCTION("CONCATENATE(""3."",APOIO!$B$2,""."",TEXT(INDEX(SPLIT(INDEX(A:A,ROW()-1,1),"".""),1,3)+1, ""00000""))"),"3.3262.00018")</f>
        <v>3.3262.00018</v>
      </c>
      <c r="B19" s="32" t="s">
        <v>148</v>
      </c>
      <c r="C19" s="32">
        <v>1917</v>
      </c>
      <c r="D19" s="32" t="s">
        <v>46</v>
      </c>
      <c r="E19" s="37" t="s">
        <v>149</v>
      </c>
      <c r="F19" s="38">
        <v>41995</v>
      </c>
      <c r="G19" s="58">
        <v>15000</v>
      </c>
      <c r="H19" s="37" t="s">
        <v>78</v>
      </c>
      <c r="I19" s="40" t="s">
        <v>150</v>
      </c>
      <c r="J19" s="32" t="s">
        <v>53</v>
      </c>
      <c r="K19" s="32" t="s">
        <v>103</v>
      </c>
      <c r="L19" s="41" t="str">
        <f>APOIO!$A$2</f>
        <v>EMATER</v>
      </c>
      <c r="M19" s="59">
        <f>APOIO!$B$2</f>
        <v>3262</v>
      </c>
      <c r="N19" s="43">
        <v>15000</v>
      </c>
      <c r="O19" s="27" t="str">
        <f>VLOOKUP($P19,APOIO!$D:$E,2,FALSE)</f>
        <v>1.2.3.2.1.01.02.01.00</v>
      </c>
      <c r="P19" s="37" t="s">
        <v>80</v>
      </c>
      <c r="Q19" s="32" t="s">
        <v>59</v>
      </c>
      <c r="R19" s="33"/>
      <c r="S19" s="33"/>
      <c r="T19" s="32" t="s">
        <v>59</v>
      </c>
      <c r="U19" s="33"/>
      <c r="V19" s="33"/>
      <c r="W19" s="33"/>
      <c r="X19" s="61">
        <f t="shared" si="0"/>
        <v>15000</v>
      </c>
      <c r="Y19" s="33">
        <f t="shared" si="1"/>
        <v>3000</v>
      </c>
      <c r="Z19" s="44">
        <f t="shared" si="2"/>
        <v>12</v>
      </c>
      <c r="AA19" s="43">
        <f t="shared" si="3"/>
        <v>40</v>
      </c>
      <c r="AB19" s="43">
        <f t="shared" si="4"/>
        <v>480</v>
      </c>
      <c r="AC19" s="43" t="str">
        <f>VLOOKUP($P19,APOIO!$D:$F,3,FALSE)</f>
        <v>1.2.3.8.1.02.01.02.01</v>
      </c>
      <c r="AD19" s="43">
        <f t="shared" si="5"/>
        <v>14520</v>
      </c>
    </row>
    <row r="20" spans="1:30" x14ac:dyDescent="0.2">
      <c r="A20" s="32" t="str">
        <f ca="1">IFERROR(__xludf.DUMMYFUNCTION("CONCATENATE(""3."",APOIO!$B$2,""."",TEXT(INDEX(SPLIT(INDEX(A:A,ROW()-1,1),"".""),1,3)+1, ""00000""))"),"3.3262.00019")</f>
        <v>3.3262.00019</v>
      </c>
      <c r="B20" s="32" t="s">
        <v>151</v>
      </c>
      <c r="C20" s="32">
        <v>1457</v>
      </c>
      <c r="D20" s="32" t="s">
        <v>46</v>
      </c>
      <c r="E20" s="37" t="s">
        <v>152</v>
      </c>
      <c r="F20" s="38">
        <v>43257</v>
      </c>
      <c r="G20" s="58">
        <v>40947.599999999999</v>
      </c>
      <c r="H20" s="37" t="s">
        <v>78</v>
      </c>
      <c r="I20" s="40" t="s">
        <v>153</v>
      </c>
      <c r="J20" s="32" t="s">
        <v>53</v>
      </c>
      <c r="K20" s="32" t="s">
        <v>54</v>
      </c>
      <c r="L20" s="41" t="str">
        <f>APOIO!$A$2</f>
        <v>EMATER</v>
      </c>
      <c r="M20" s="59">
        <f>APOIO!$B$2</f>
        <v>3262</v>
      </c>
      <c r="N20" s="43">
        <v>40947.599999999999</v>
      </c>
      <c r="O20" s="27" t="str">
        <f>VLOOKUP($P20,APOIO!$D:$E,2,FALSE)</f>
        <v>1.2.3.2.1.01.02.01.00</v>
      </c>
      <c r="P20" s="37" t="s">
        <v>80</v>
      </c>
      <c r="Q20" s="32" t="s">
        <v>59</v>
      </c>
      <c r="R20" s="33"/>
      <c r="S20" s="33"/>
      <c r="T20" s="32" t="s">
        <v>59</v>
      </c>
      <c r="U20" s="33"/>
      <c r="V20" s="33"/>
      <c r="W20" s="33"/>
      <c r="X20" s="61">
        <f t="shared" si="0"/>
        <v>40947.599999999999</v>
      </c>
      <c r="Y20" s="33">
        <f t="shared" si="1"/>
        <v>8189.52</v>
      </c>
      <c r="Z20" s="44">
        <f t="shared" si="2"/>
        <v>12</v>
      </c>
      <c r="AA20" s="43">
        <f t="shared" si="3"/>
        <v>109.19359999999999</v>
      </c>
      <c r="AB20" s="43">
        <f t="shared" si="4"/>
        <v>1310.3231999999998</v>
      </c>
      <c r="AC20" s="43" t="str">
        <f>VLOOKUP($P20,APOIO!$D:$F,3,FALSE)</f>
        <v>1.2.3.8.1.02.01.02.01</v>
      </c>
      <c r="AD20" s="43">
        <f t="shared" si="5"/>
        <v>39637.2768</v>
      </c>
    </row>
    <row r="21" spans="1:30" x14ac:dyDescent="0.2">
      <c r="A21" s="32" t="str">
        <f ca="1">IFERROR(__xludf.DUMMYFUNCTION("CONCATENATE(""3."",APOIO!$B$2,""."",TEXT(INDEX(SPLIT(INDEX(A:A,ROW()-1,1),"".""),1,3)+1, ""00000""))"),"3.3262.00020")</f>
        <v>3.3262.00020</v>
      </c>
      <c r="B21" s="32" t="s">
        <v>154</v>
      </c>
      <c r="C21" s="32">
        <v>1299</v>
      </c>
      <c r="D21" s="32" t="s">
        <v>46</v>
      </c>
      <c r="E21" s="37" t="s">
        <v>155</v>
      </c>
      <c r="F21" s="38">
        <v>43116</v>
      </c>
      <c r="G21" s="58">
        <v>80000</v>
      </c>
      <c r="H21" s="37" t="s">
        <v>78</v>
      </c>
      <c r="I21" s="40" t="s">
        <v>156</v>
      </c>
      <c r="J21" s="32" t="s">
        <v>53</v>
      </c>
      <c r="K21" s="32" t="s">
        <v>103</v>
      </c>
      <c r="L21" s="41" t="str">
        <f>APOIO!$A$2</f>
        <v>EMATER</v>
      </c>
      <c r="M21" s="59">
        <f>APOIO!$B$2</f>
        <v>3262</v>
      </c>
      <c r="N21" s="43">
        <v>80000</v>
      </c>
      <c r="O21" s="27" t="str">
        <f>VLOOKUP($P21,APOIO!$D:$E,2,FALSE)</f>
        <v>1.2.3.2.1.01.02.01.00</v>
      </c>
      <c r="P21" s="37" t="s">
        <v>80</v>
      </c>
      <c r="Q21" s="32" t="s">
        <v>59</v>
      </c>
      <c r="R21" s="33"/>
      <c r="S21" s="33"/>
      <c r="T21" s="32" t="s">
        <v>59</v>
      </c>
      <c r="U21" s="33"/>
      <c r="V21" s="33"/>
      <c r="W21" s="33"/>
      <c r="X21" s="61">
        <f t="shared" si="0"/>
        <v>80000</v>
      </c>
      <c r="Y21" s="33">
        <f t="shared" si="1"/>
        <v>16000</v>
      </c>
      <c r="Z21" s="44">
        <f t="shared" si="2"/>
        <v>12</v>
      </c>
      <c r="AA21" s="43">
        <f t="shared" si="3"/>
        <v>213.33333333333334</v>
      </c>
      <c r="AB21" s="43">
        <f t="shared" si="4"/>
        <v>2560</v>
      </c>
      <c r="AC21" s="43" t="str">
        <f>VLOOKUP($P21,APOIO!$D:$F,3,FALSE)</f>
        <v>1.2.3.8.1.02.01.02.01</v>
      </c>
      <c r="AD21" s="43">
        <f t="shared" si="5"/>
        <v>77440</v>
      </c>
    </row>
    <row r="22" spans="1:30" x14ac:dyDescent="0.2">
      <c r="A22" s="32" t="str">
        <f ca="1">IFERROR(__xludf.DUMMYFUNCTION("CONCATENATE(""3."",APOIO!$B$2,""."",TEXT(INDEX(SPLIT(INDEX(A:A,ROW()-1,1),"".""),1,3)+1, ""00000""))"),"3.3262.00021")</f>
        <v>3.3262.00021</v>
      </c>
      <c r="B22" s="32" t="s">
        <v>157</v>
      </c>
      <c r="C22" s="32">
        <v>3417</v>
      </c>
      <c r="D22" s="32" t="s">
        <v>46</v>
      </c>
      <c r="E22" s="37" t="s">
        <v>158</v>
      </c>
      <c r="F22" s="38">
        <v>43250</v>
      </c>
      <c r="G22" s="58">
        <v>130000</v>
      </c>
      <c r="H22" s="37" t="s">
        <v>78</v>
      </c>
      <c r="I22" s="40" t="s">
        <v>159</v>
      </c>
      <c r="J22" s="32" t="s">
        <v>53</v>
      </c>
      <c r="K22" s="32" t="s">
        <v>54</v>
      </c>
      <c r="L22" s="41" t="str">
        <f>APOIO!$A$2</f>
        <v>EMATER</v>
      </c>
      <c r="M22" s="59">
        <f>APOIO!$B$2</f>
        <v>3262</v>
      </c>
      <c r="N22" s="43">
        <v>130000</v>
      </c>
      <c r="O22" s="27" t="str">
        <f>VLOOKUP($P22,APOIO!$D:$E,2,FALSE)</f>
        <v>1.2.3.2.1.01.02.01.00</v>
      </c>
      <c r="P22" s="37" t="s">
        <v>80</v>
      </c>
      <c r="Q22" s="32" t="s">
        <v>59</v>
      </c>
      <c r="R22" s="43"/>
      <c r="S22" s="43"/>
      <c r="T22" s="32" t="s">
        <v>59</v>
      </c>
      <c r="U22" s="43"/>
      <c r="V22" s="43"/>
      <c r="W22" s="43"/>
      <c r="X22" s="61">
        <f t="shared" si="0"/>
        <v>130000</v>
      </c>
      <c r="Y22" s="33">
        <f t="shared" si="1"/>
        <v>26000</v>
      </c>
      <c r="Z22" s="44">
        <f t="shared" si="2"/>
        <v>12</v>
      </c>
      <c r="AA22" s="43">
        <f t="shared" si="3"/>
        <v>346.66666666666669</v>
      </c>
      <c r="AB22" s="43">
        <f t="shared" si="4"/>
        <v>4160</v>
      </c>
      <c r="AC22" s="43" t="str">
        <f>VLOOKUP($P22,APOIO!$D:$F,3,FALSE)</f>
        <v>1.2.3.8.1.02.01.02.01</v>
      </c>
      <c r="AD22" s="43">
        <f t="shared" si="5"/>
        <v>125840</v>
      </c>
    </row>
    <row r="23" spans="1:30" x14ac:dyDescent="0.2">
      <c r="A23" s="32" t="str">
        <f ca="1">IFERROR(__xludf.DUMMYFUNCTION("CONCATENATE(""3."",APOIO!$B$2,""."",TEXT(INDEX(SPLIT(INDEX(A:A,ROW()-1,1),"".""),1,3)+1, ""00000""))"),"3.3262.00022")</f>
        <v>3.3262.00022</v>
      </c>
      <c r="B23" s="32" t="s">
        <v>160</v>
      </c>
      <c r="C23" s="32">
        <v>78970</v>
      </c>
      <c r="D23" s="32" t="s">
        <v>46</v>
      </c>
      <c r="E23" s="37" t="s">
        <v>161</v>
      </c>
      <c r="F23" s="38">
        <v>43627</v>
      </c>
      <c r="G23" s="58">
        <v>33143814.420000002</v>
      </c>
      <c r="H23" s="37" t="s">
        <v>162</v>
      </c>
      <c r="I23" s="40" t="s">
        <v>163</v>
      </c>
      <c r="J23" s="32" t="s">
        <v>53</v>
      </c>
      <c r="K23" s="32" t="s">
        <v>103</v>
      </c>
      <c r="L23" s="41" t="str">
        <f>APOIO!$A$2</f>
        <v>EMATER</v>
      </c>
      <c r="M23" s="59">
        <f>APOIO!$B$2</f>
        <v>3262</v>
      </c>
      <c r="N23" s="43">
        <v>33143814.420000002</v>
      </c>
      <c r="O23" s="27" t="str">
        <f>VLOOKUP($P23,APOIO!$D:$E,2,FALSE)</f>
        <v>1.2.3.2.1.01.02.01.00</v>
      </c>
      <c r="P23" s="37" t="s">
        <v>80</v>
      </c>
      <c r="Q23" s="32" t="s">
        <v>59</v>
      </c>
      <c r="R23" s="33"/>
      <c r="S23" s="33"/>
      <c r="T23" s="32" t="s">
        <v>59</v>
      </c>
      <c r="U23" s="33"/>
      <c r="V23" s="33"/>
      <c r="W23" s="33"/>
      <c r="X23" s="61">
        <f t="shared" si="0"/>
        <v>33143814.420000002</v>
      </c>
      <c r="Y23" s="33">
        <f t="shared" si="1"/>
        <v>6628762.8840000005</v>
      </c>
      <c r="Z23" s="44">
        <f t="shared" si="2"/>
        <v>12</v>
      </c>
      <c r="AA23" s="43">
        <f t="shared" si="3"/>
        <v>88383.505120000002</v>
      </c>
      <c r="AB23" s="43">
        <f t="shared" si="4"/>
        <v>1060602.0614400001</v>
      </c>
      <c r="AC23" s="43" t="str">
        <f>VLOOKUP($P23,APOIO!$D:$F,3,FALSE)</f>
        <v>1.2.3.8.1.02.01.02.01</v>
      </c>
      <c r="AD23" s="43">
        <f t="shared" si="5"/>
        <v>32083212.358560003</v>
      </c>
    </row>
    <row r="24" spans="1:30" x14ac:dyDescent="0.2">
      <c r="A24" s="32" t="str">
        <f ca="1">IFERROR(__xludf.DUMMYFUNCTION("CONCATENATE(""3."",APOIO!$B$2,""."",TEXT(INDEX(SPLIT(INDEX(A:A,ROW()-1,1),"".""),1,3)+1, ""00000""))"),"3.3262.00023")</f>
        <v>3.3262.00023</v>
      </c>
      <c r="B24" s="32" t="s">
        <v>164</v>
      </c>
      <c r="C24" s="32">
        <v>4306</v>
      </c>
      <c r="D24" s="32" t="s">
        <v>46</v>
      </c>
      <c r="E24" s="37" t="s">
        <v>165</v>
      </c>
      <c r="F24" s="38">
        <v>43196</v>
      </c>
      <c r="G24" s="58">
        <v>191105.04</v>
      </c>
      <c r="H24" s="37" t="s">
        <v>78</v>
      </c>
      <c r="I24" s="40" t="s">
        <v>166</v>
      </c>
      <c r="J24" s="32" t="s">
        <v>53</v>
      </c>
      <c r="K24" s="32" t="s">
        <v>103</v>
      </c>
      <c r="L24" s="41" t="str">
        <f>APOIO!$A$2</f>
        <v>EMATER</v>
      </c>
      <c r="M24" s="59">
        <f>APOIO!$B$2</f>
        <v>3262</v>
      </c>
      <c r="N24" s="43">
        <v>191105.04</v>
      </c>
      <c r="O24" s="27" t="str">
        <f>VLOOKUP($P24,APOIO!$D:$E,2,FALSE)</f>
        <v>1.2.3.2.1.01.02.01.00</v>
      </c>
      <c r="P24" s="37" t="s">
        <v>80</v>
      </c>
      <c r="Q24" s="32" t="s">
        <v>59</v>
      </c>
      <c r="R24" s="33"/>
      <c r="S24" s="33"/>
      <c r="T24" s="32" t="s">
        <v>59</v>
      </c>
      <c r="U24" s="33"/>
      <c r="V24" s="33"/>
      <c r="W24" s="33"/>
      <c r="X24" s="61">
        <f t="shared" si="0"/>
        <v>191105.04</v>
      </c>
      <c r="Y24" s="33">
        <f t="shared" si="1"/>
        <v>38221.008000000002</v>
      </c>
      <c r="Z24" s="44">
        <f t="shared" si="2"/>
        <v>12</v>
      </c>
      <c r="AA24" s="43">
        <f t="shared" si="3"/>
        <v>509.61344000000003</v>
      </c>
      <c r="AB24" s="43">
        <f t="shared" si="4"/>
        <v>6115.3612800000001</v>
      </c>
      <c r="AC24" s="43" t="str">
        <f>VLOOKUP($P24,APOIO!$D:$F,3,FALSE)</f>
        <v>1.2.3.8.1.02.01.02.01</v>
      </c>
      <c r="AD24" s="43">
        <f t="shared" si="5"/>
        <v>184989.67872</v>
      </c>
    </row>
    <row r="25" spans="1:30" x14ac:dyDescent="0.2">
      <c r="A25" s="32" t="str">
        <f ca="1">IFERROR(__xludf.DUMMYFUNCTION("CONCATENATE(""3."",APOIO!$B$2,""."",TEXT(INDEX(SPLIT(INDEX(A:A,ROW()-1,1),"".""),1,3)+1, ""00000""))"),"3.3262.00024")</f>
        <v>3.3262.00024</v>
      </c>
      <c r="B25" s="32" t="s">
        <v>167</v>
      </c>
      <c r="C25" s="32">
        <v>1393</v>
      </c>
      <c r="D25" s="32" t="s">
        <v>46</v>
      </c>
      <c r="E25" s="37" t="s">
        <v>168</v>
      </c>
      <c r="F25" s="38">
        <v>43270</v>
      </c>
      <c r="G25" s="58">
        <v>46632.24</v>
      </c>
      <c r="H25" s="37" t="s">
        <v>78</v>
      </c>
      <c r="I25" s="40" t="s">
        <v>169</v>
      </c>
      <c r="J25" s="32" t="s">
        <v>53</v>
      </c>
      <c r="K25" s="32" t="s">
        <v>54</v>
      </c>
      <c r="L25" s="41" t="str">
        <f>APOIO!$A$2</f>
        <v>EMATER</v>
      </c>
      <c r="M25" s="59">
        <f>APOIO!$B$2</f>
        <v>3262</v>
      </c>
      <c r="N25" s="43">
        <v>46632.24</v>
      </c>
      <c r="O25" s="27" t="str">
        <f>VLOOKUP($P25,APOIO!$D:$E,2,FALSE)</f>
        <v>1.2.3.2.1.01.02.01.00</v>
      </c>
      <c r="P25" s="37" t="s">
        <v>80</v>
      </c>
      <c r="Q25" s="32" t="s">
        <v>59</v>
      </c>
      <c r="R25" s="33"/>
      <c r="S25" s="33"/>
      <c r="T25" s="32" t="s">
        <v>59</v>
      </c>
      <c r="U25" s="33"/>
      <c r="V25" s="33"/>
      <c r="W25" s="33"/>
      <c r="X25" s="61">
        <f t="shared" si="0"/>
        <v>46632.24</v>
      </c>
      <c r="Y25" s="33">
        <f t="shared" si="1"/>
        <v>9326.4479999999985</v>
      </c>
      <c r="Z25" s="44">
        <f t="shared" si="2"/>
        <v>12</v>
      </c>
      <c r="AA25" s="43">
        <f t="shared" si="3"/>
        <v>124.35264000000001</v>
      </c>
      <c r="AB25" s="43">
        <f t="shared" si="4"/>
        <v>1492.2316800000001</v>
      </c>
      <c r="AC25" s="43" t="str">
        <f>VLOOKUP($P25,APOIO!$D:$F,3,FALSE)</f>
        <v>1.2.3.8.1.02.01.02.01</v>
      </c>
      <c r="AD25" s="43">
        <f t="shared" si="5"/>
        <v>45140.008320000001</v>
      </c>
    </row>
    <row r="26" spans="1:30" x14ac:dyDescent="0.2">
      <c r="A26" s="32" t="str">
        <f ca="1">IFERROR(__xludf.DUMMYFUNCTION("CONCATENATE(""3."",APOIO!$B$2,""."",TEXT(INDEX(SPLIT(INDEX(A:A,ROW()-1,1),"".""),1,3)+1, ""00000""))"),"3.3262.00025")</f>
        <v>3.3262.00025</v>
      </c>
      <c r="B26" s="32" t="s">
        <v>170</v>
      </c>
      <c r="C26" s="32">
        <v>917</v>
      </c>
      <c r="D26" s="32" t="s">
        <v>46</v>
      </c>
      <c r="E26" s="37" t="s">
        <v>155</v>
      </c>
      <c r="F26" s="38">
        <v>43238</v>
      </c>
      <c r="G26" s="58">
        <v>3261.8</v>
      </c>
      <c r="H26" s="37" t="s">
        <v>93</v>
      </c>
      <c r="I26" s="40" t="s">
        <v>171</v>
      </c>
      <c r="J26" s="32" t="s">
        <v>53</v>
      </c>
      <c r="K26" s="32" t="s">
        <v>95</v>
      </c>
      <c r="L26" s="41" t="str">
        <f>APOIO!$A$2</f>
        <v>EMATER</v>
      </c>
      <c r="M26" s="59">
        <f>APOIO!$B$2</f>
        <v>3262</v>
      </c>
      <c r="N26" s="43">
        <v>3261.8</v>
      </c>
      <c r="O26" s="27" t="str">
        <f>VLOOKUP($P26,APOIO!$D:$E,2,FALSE)</f>
        <v>1.2.3.2.1.01.04.01.00</v>
      </c>
      <c r="P26" s="37" t="s">
        <v>96</v>
      </c>
      <c r="Q26" s="32" t="s">
        <v>59</v>
      </c>
      <c r="R26" s="33"/>
      <c r="S26" s="33"/>
      <c r="T26" s="32" t="s">
        <v>59</v>
      </c>
      <c r="U26" s="33"/>
      <c r="V26" s="33"/>
      <c r="W26" s="33"/>
      <c r="X26" s="61">
        <f t="shared" si="0"/>
        <v>3261.8</v>
      </c>
      <c r="Y26" s="33">
        <f t="shared" si="1"/>
        <v>0</v>
      </c>
      <c r="Z26" s="44">
        <f t="shared" si="2"/>
        <v>0</v>
      </c>
      <c r="AA26" s="43">
        <f t="shared" si="3"/>
        <v>0</v>
      </c>
      <c r="AB26" s="43">
        <f t="shared" si="4"/>
        <v>0</v>
      </c>
      <c r="AC26" s="43" t="str">
        <f>VLOOKUP($P26,APOIO!$D:$F,3,FALSE)</f>
        <v>1.2.3.8.1.02.01.04.01</v>
      </c>
      <c r="AD26" s="43">
        <f t="shared" si="5"/>
        <v>3261.8</v>
      </c>
    </row>
    <row r="27" spans="1:30" x14ac:dyDescent="0.2">
      <c r="A27" s="32" t="str">
        <f ca="1">IFERROR(__xludf.DUMMYFUNCTION("CONCATENATE(""3."",APOIO!$B$2,""."",TEXT(INDEX(SPLIT(INDEX(A:A,ROW()-1,1),"".""),1,3)+1, ""00000""))"),"3.3262.00026")</f>
        <v>3.3262.00026</v>
      </c>
      <c r="B27" s="32" t="s">
        <v>172</v>
      </c>
      <c r="C27" s="32">
        <v>463</v>
      </c>
      <c r="D27" s="32" t="s">
        <v>46</v>
      </c>
      <c r="E27" s="37" t="s">
        <v>173</v>
      </c>
      <c r="F27" s="38">
        <v>43270</v>
      </c>
      <c r="G27" s="58">
        <v>22840</v>
      </c>
      <c r="H27" s="37" t="s">
        <v>140</v>
      </c>
      <c r="I27" s="40" t="s">
        <v>174</v>
      </c>
      <c r="J27" s="32" t="s">
        <v>53</v>
      </c>
      <c r="K27" s="32" t="s">
        <v>103</v>
      </c>
      <c r="L27" s="41" t="str">
        <f>APOIO!$A$2</f>
        <v>EMATER</v>
      </c>
      <c r="M27" s="59">
        <f>APOIO!$B$2</f>
        <v>3262</v>
      </c>
      <c r="N27" s="43">
        <v>22840</v>
      </c>
      <c r="O27" s="27" t="str">
        <f>VLOOKUP($P27,APOIO!$D:$E,2,FALSE)</f>
        <v>1.2.3.2.1.01.02.01.00</v>
      </c>
      <c r="P27" s="37" t="s">
        <v>80</v>
      </c>
      <c r="Q27" s="32" t="s">
        <v>59</v>
      </c>
      <c r="R27" s="33"/>
      <c r="S27" s="33"/>
      <c r="T27" s="32" t="s">
        <v>59</v>
      </c>
      <c r="U27" s="33"/>
      <c r="V27" s="33"/>
      <c r="W27" s="33"/>
      <c r="X27" s="61">
        <f t="shared" si="0"/>
        <v>22840</v>
      </c>
      <c r="Y27" s="33">
        <f t="shared" si="1"/>
        <v>4568</v>
      </c>
      <c r="Z27" s="44">
        <f t="shared" si="2"/>
        <v>12</v>
      </c>
      <c r="AA27" s="43">
        <f t="shared" si="3"/>
        <v>60.906666666666666</v>
      </c>
      <c r="AB27" s="43">
        <f t="shared" si="4"/>
        <v>730.88</v>
      </c>
      <c r="AC27" s="43" t="str">
        <f>VLOOKUP($P27,APOIO!$D:$F,3,FALSE)</f>
        <v>1.2.3.8.1.02.01.02.01</v>
      </c>
      <c r="AD27" s="43">
        <f t="shared" si="5"/>
        <v>22109.119999999999</v>
      </c>
    </row>
    <row r="28" spans="1:30" x14ac:dyDescent="0.2">
      <c r="A28" s="32" t="str">
        <f ca="1">IFERROR(__xludf.DUMMYFUNCTION("CONCATENATE(""3."",APOIO!$B$2,""."",TEXT(INDEX(SPLIT(INDEX(A:A,ROW()-1,1),"".""),1,3)+1, ""00000""))"),"3.3262.00027")</f>
        <v>3.3262.00027</v>
      </c>
      <c r="B28" s="32" t="s">
        <v>175</v>
      </c>
      <c r="C28" s="32">
        <v>12326</v>
      </c>
      <c r="D28" s="32" t="s">
        <v>46</v>
      </c>
      <c r="E28" s="37" t="s">
        <v>176</v>
      </c>
      <c r="F28" s="38">
        <v>41289</v>
      </c>
      <c r="G28" s="58">
        <v>50000</v>
      </c>
      <c r="H28" s="37" t="s">
        <v>78</v>
      </c>
      <c r="I28" s="40" t="s">
        <v>177</v>
      </c>
      <c r="J28" s="32" t="s">
        <v>53</v>
      </c>
      <c r="K28" s="32" t="s">
        <v>103</v>
      </c>
      <c r="L28" s="41" t="str">
        <f>APOIO!$A$2</f>
        <v>EMATER</v>
      </c>
      <c r="M28" s="59">
        <f>APOIO!$B$2</f>
        <v>3262</v>
      </c>
      <c r="N28" s="43">
        <v>50000</v>
      </c>
      <c r="O28" s="27" t="str">
        <f>VLOOKUP($P28,APOIO!$D:$E,2,FALSE)</f>
        <v>1.2.3.2.1.01.02.01.00</v>
      </c>
      <c r="P28" s="37" t="s">
        <v>80</v>
      </c>
      <c r="Q28" s="32" t="s">
        <v>59</v>
      </c>
      <c r="R28" s="33"/>
      <c r="S28" s="33"/>
      <c r="T28" s="32" t="s">
        <v>59</v>
      </c>
      <c r="U28" s="33"/>
      <c r="V28" s="33"/>
      <c r="W28" s="33"/>
      <c r="X28" s="61">
        <f t="shared" si="0"/>
        <v>50000</v>
      </c>
      <c r="Y28" s="33">
        <f t="shared" si="1"/>
        <v>10000</v>
      </c>
      <c r="Z28" s="44">
        <f t="shared" si="2"/>
        <v>12</v>
      </c>
      <c r="AA28" s="43">
        <f t="shared" si="3"/>
        <v>133.33333333333334</v>
      </c>
      <c r="AB28" s="43">
        <f t="shared" si="4"/>
        <v>1600</v>
      </c>
      <c r="AC28" s="43" t="str">
        <f>VLOOKUP($P28,APOIO!$D:$F,3,FALSE)</f>
        <v>1.2.3.8.1.02.01.02.01</v>
      </c>
      <c r="AD28" s="43">
        <f t="shared" si="5"/>
        <v>48400</v>
      </c>
    </row>
    <row r="29" spans="1:30" x14ac:dyDescent="0.2">
      <c r="A29" s="32" t="str">
        <f ca="1">IFERROR(__xludf.DUMMYFUNCTION("CONCATENATE(""3."",APOIO!$B$2,""."",TEXT(INDEX(SPLIT(INDEX(A:A,ROW()-1,1),"".""),1,3)+1, ""00000""))"),"3.3262.00028")</f>
        <v>3.3262.00028</v>
      </c>
      <c r="B29" s="32" t="s">
        <v>178</v>
      </c>
      <c r="C29" s="32">
        <v>1240</v>
      </c>
      <c r="D29" s="32" t="s">
        <v>46</v>
      </c>
      <c r="E29" s="37" t="s">
        <v>98</v>
      </c>
      <c r="F29" s="38">
        <v>43207</v>
      </c>
      <c r="G29" s="58">
        <v>70000</v>
      </c>
      <c r="H29" s="37" t="s">
        <v>78</v>
      </c>
      <c r="I29" s="40" t="s">
        <v>179</v>
      </c>
      <c r="J29" s="32" t="s">
        <v>53</v>
      </c>
      <c r="K29" s="32" t="s">
        <v>103</v>
      </c>
      <c r="L29" s="41" t="str">
        <f>APOIO!$A$2</f>
        <v>EMATER</v>
      </c>
      <c r="M29" s="59">
        <f>APOIO!$B$2</f>
        <v>3262</v>
      </c>
      <c r="N29" s="43">
        <v>70000</v>
      </c>
      <c r="O29" s="27" t="str">
        <f>VLOOKUP($P29,APOIO!$D:$E,2,FALSE)</f>
        <v>1.2.3.2.1.01.02.01.00</v>
      </c>
      <c r="P29" s="37" t="s">
        <v>80</v>
      </c>
      <c r="Q29" s="32" t="s">
        <v>59</v>
      </c>
      <c r="R29" s="33"/>
      <c r="S29" s="33"/>
      <c r="T29" s="32" t="s">
        <v>59</v>
      </c>
      <c r="U29" s="33"/>
      <c r="V29" s="33"/>
      <c r="W29" s="33"/>
      <c r="X29" s="61">
        <f t="shared" si="0"/>
        <v>70000</v>
      </c>
      <c r="Y29" s="33">
        <f t="shared" si="1"/>
        <v>14000</v>
      </c>
      <c r="Z29" s="44">
        <f t="shared" si="2"/>
        <v>12</v>
      </c>
      <c r="AA29" s="43">
        <f t="shared" si="3"/>
        <v>186.66666666666666</v>
      </c>
      <c r="AB29" s="43">
        <f t="shared" si="4"/>
        <v>2240</v>
      </c>
      <c r="AC29" s="43" t="str">
        <f>VLOOKUP($P29,APOIO!$D:$F,3,FALSE)</f>
        <v>1.2.3.8.1.02.01.02.01</v>
      </c>
      <c r="AD29" s="43">
        <f t="shared" si="5"/>
        <v>67760</v>
      </c>
    </row>
    <row r="30" spans="1:30" x14ac:dyDescent="0.2">
      <c r="A30" s="32" t="str">
        <f ca="1">IFERROR(__xludf.DUMMYFUNCTION("CONCATENATE(""3."",APOIO!$B$2,""."",TEXT(INDEX(SPLIT(INDEX(A:A,ROW()-1,1),"".""),1,3)+1, ""00000""))"),"3.3262.00029")</f>
        <v>3.3262.00029</v>
      </c>
      <c r="B30" s="32" t="s">
        <v>180</v>
      </c>
      <c r="C30" s="32">
        <v>2007</v>
      </c>
      <c r="D30" s="32" t="s">
        <v>46</v>
      </c>
      <c r="E30" s="37" t="s">
        <v>181</v>
      </c>
      <c r="F30" s="39">
        <v>43271</v>
      </c>
      <c r="G30" s="58">
        <v>21905.5</v>
      </c>
      <c r="H30" s="37" t="s">
        <v>78</v>
      </c>
      <c r="I30" s="40" t="s">
        <v>182</v>
      </c>
      <c r="J30" s="32" t="s">
        <v>53</v>
      </c>
      <c r="K30" s="32" t="s">
        <v>103</v>
      </c>
      <c r="L30" s="41" t="str">
        <f>APOIO!$A$2</f>
        <v>EMATER</v>
      </c>
      <c r="M30" s="59">
        <f>APOIO!$B$2</f>
        <v>3262</v>
      </c>
      <c r="N30" s="43">
        <v>21905.5</v>
      </c>
      <c r="O30" s="27" t="str">
        <f>VLOOKUP($P30,APOIO!$D:$E,2,FALSE)</f>
        <v>1.2.3.2.1.01.02.01.00</v>
      </c>
      <c r="P30" s="37" t="s">
        <v>80</v>
      </c>
      <c r="Q30" s="32" t="s">
        <v>59</v>
      </c>
      <c r="R30" s="33"/>
      <c r="S30" s="33"/>
      <c r="T30" s="32" t="s">
        <v>59</v>
      </c>
      <c r="U30" s="33"/>
      <c r="V30" s="33"/>
      <c r="W30" s="33"/>
      <c r="X30" s="61">
        <f t="shared" si="0"/>
        <v>21905.5</v>
      </c>
      <c r="Y30" s="33">
        <f t="shared" si="1"/>
        <v>4381.1000000000004</v>
      </c>
      <c r="Z30" s="44">
        <f t="shared" si="2"/>
        <v>12</v>
      </c>
      <c r="AA30" s="43">
        <f t="shared" si="3"/>
        <v>58.414666666666676</v>
      </c>
      <c r="AB30" s="43">
        <f t="shared" si="4"/>
        <v>700.97600000000011</v>
      </c>
      <c r="AC30" s="43" t="str">
        <f>VLOOKUP($P30,APOIO!$D:$F,3,FALSE)</f>
        <v>1.2.3.8.1.02.01.02.01</v>
      </c>
      <c r="AD30" s="43">
        <f t="shared" si="5"/>
        <v>21204.524000000001</v>
      </c>
    </row>
    <row r="31" spans="1:30" x14ac:dyDescent="0.2">
      <c r="A31" s="32" t="str">
        <f ca="1">IFERROR(__xludf.DUMMYFUNCTION("CONCATENATE(""3."",APOIO!$B$2,""."",TEXT(INDEX(SPLIT(INDEX(A:A,ROW()-1,1),"".""),1,3)+1, ""00000""))"),"3.3262.00030")</f>
        <v>3.3262.00030</v>
      </c>
      <c r="B31" s="32" t="s">
        <v>183</v>
      </c>
      <c r="C31" s="32">
        <v>8849</v>
      </c>
      <c r="D31" s="32" t="s">
        <v>46</v>
      </c>
      <c r="E31" s="37" t="s">
        <v>98</v>
      </c>
      <c r="F31" s="38">
        <v>43346</v>
      </c>
      <c r="G31" s="58">
        <v>68278.38</v>
      </c>
      <c r="H31" s="37" t="s">
        <v>78</v>
      </c>
      <c r="I31" s="40" t="s">
        <v>184</v>
      </c>
      <c r="J31" s="32" t="s">
        <v>53</v>
      </c>
      <c r="K31" s="32" t="s">
        <v>103</v>
      </c>
      <c r="L31" s="41" t="str">
        <f>APOIO!$A$2</f>
        <v>EMATER</v>
      </c>
      <c r="M31" s="59">
        <f>APOIO!$B$2</f>
        <v>3262</v>
      </c>
      <c r="N31" s="43">
        <v>68278.38</v>
      </c>
      <c r="O31" s="27" t="str">
        <f>VLOOKUP($P31,APOIO!$D:$E,2,FALSE)</f>
        <v>1.2.3.2.1.01.02.01.00</v>
      </c>
      <c r="P31" s="37" t="s">
        <v>80</v>
      </c>
      <c r="Q31" s="32" t="s">
        <v>59</v>
      </c>
      <c r="R31" s="33"/>
      <c r="S31" s="33"/>
      <c r="T31" s="32" t="s">
        <v>59</v>
      </c>
      <c r="U31" s="33"/>
      <c r="V31" s="33"/>
      <c r="W31" s="33"/>
      <c r="X31" s="61">
        <f t="shared" si="0"/>
        <v>68278.38</v>
      </c>
      <c r="Y31" s="33">
        <f t="shared" si="1"/>
        <v>13655.676000000001</v>
      </c>
      <c r="Z31" s="44">
        <f t="shared" si="2"/>
        <v>12</v>
      </c>
      <c r="AA31" s="43">
        <f t="shared" si="3"/>
        <v>182.07568000000003</v>
      </c>
      <c r="AB31" s="43">
        <f t="shared" si="4"/>
        <v>2184.9081600000004</v>
      </c>
      <c r="AC31" s="43" t="str">
        <f>VLOOKUP($P31,APOIO!$D:$F,3,FALSE)</f>
        <v>1.2.3.8.1.02.01.02.01</v>
      </c>
      <c r="AD31" s="43">
        <f t="shared" si="5"/>
        <v>66093.471839999998</v>
      </c>
    </row>
    <row r="32" spans="1:30" x14ac:dyDescent="0.2">
      <c r="A32" s="32" t="str">
        <f ca="1">IFERROR(__xludf.DUMMYFUNCTION("CONCATENATE(""3."",APOIO!$B$2,""."",TEXT(INDEX(SPLIT(INDEX(A:A,ROW()-1,1),"".""),1,3)+1, ""00000""))"),"3.3262.00031")</f>
        <v>3.3262.00031</v>
      </c>
      <c r="B32" s="32" t="s">
        <v>185</v>
      </c>
      <c r="C32" s="32">
        <v>20815</v>
      </c>
      <c r="D32" s="32" t="s">
        <v>46</v>
      </c>
      <c r="E32" s="37" t="s">
        <v>186</v>
      </c>
      <c r="F32" s="38">
        <v>43262</v>
      </c>
      <c r="G32" s="58">
        <v>181627.02</v>
      </c>
      <c r="H32" s="37" t="s">
        <v>78</v>
      </c>
      <c r="I32" s="40" t="s">
        <v>187</v>
      </c>
      <c r="J32" s="32" t="s">
        <v>53</v>
      </c>
      <c r="K32" s="32" t="s">
        <v>103</v>
      </c>
      <c r="L32" s="41" t="str">
        <f>APOIO!$A$2</f>
        <v>EMATER</v>
      </c>
      <c r="M32" s="59">
        <f>APOIO!$B$2</f>
        <v>3262</v>
      </c>
      <c r="N32" s="43">
        <v>181627.02</v>
      </c>
      <c r="O32" s="27" t="str">
        <f>VLOOKUP($P32,APOIO!$D:$E,2,FALSE)</f>
        <v>1.2.3.2.1.01.02.01.00</v>
      </c>
      <c r="P32" s="37" t="s">
        <v>80</v>
      </c>
      <c r="Q32" s="32" t="s">
        <v>59</v>
      </c>
      <c r="R32" s="33"/>
      <c r="S32" s="33"/>
      <c r="T32" s="32" t="s">
        <v>59</v>
      </c>
      <c r="U32" s="33"/>
      <c r="V32" s="33"/>
      <c r="W32" s="33"/>
      <c r="X32" s="61">
        <f t="shared" si="0"/>
        <v>181627.02</v>
      </c>
      <c r="Y32" s="33">
        <f t="shared" si="1"/>
        <v>36325.404000000002</v>
      </c>
      <c r="Z32" s="44">
        <f t="shared" si="2"/>
        <v>12</v>
      </c>
      <c r="AA32" s="43">
        <f t="shared" si="3"/>
        <v>484.33871999999997</v>
      </c>
      <c r="AB32" s="43">
        <f t="shared" si="4"/>
        <v>5812.0646399999996</v>
      </c>
      <c r="AC32" s="43" t="str">
        <f>VLOOKUP($P32,APOIO!$D:$F,3,FALSE)</f>
        <v>1.2.3.8.1.02.01.02.01</v>
      </c>
      <c r="AD32" s="43">
        <f t="shared" si="5"/>
        <v>175814.95535999999</v>
      </c>
    </row>
    <row r="33" spans="1:30" x14ac:dyDescent="0.2">
      <c r="A33" s="32" t="str">
        <f ca="1">IFERROR(__xludf.DUMMYFUNCTION("CONCATENATE(""3."",APOIO!$B$2,""."",TEXT(INDEX(SPLIT(INDEX(A:A,ROW()-1,1),"".""),1,3)+1, ""00000""))"),"3.3262.00032")</f>
        <v>3.3262.00032</v>
      </c>
      <c r="B33" s="32" t="s">
        <v>188</v>
      </c>
      <c r="C33" s="32">
        <v>11917</v>
      </c>
      <c r="D33" s="32" t="s">
        <v>46</v>
      </c>
      <c r="E33" s="37" t="s">
        <v>189</v>
      </c>
      <c r="F33" s="38">
        <v>43334</v>
      </c>
      <c r="G33" s="58">
        <v>345263.07</v>
      </c>
      <c r="H33" s="37" t="s">
        <v>78</v>
      </c>
      <c r="I33" s="40" t="s">
        <v>190</v>
      </c>
      <c r="J33" s="32" t="s">
        <v>53</v>
      </c>
      <c r="K33" s="32" t="s">
        <v>103</v>
      </c>
      <c r="L33" s="41" t="str">
        <f>APOIO!$A$2</f>
        <v>EMATER</v>
      </c>
      <c r="M33" s="59">
        <f>APOIO!$B$2</f>
        <v>3262</v>
      </c>
      <c r="N33" s="43">
        <v>345263.07</v>
      </c>
      <c r="O33" s="27" t="str">
        <f>VLOOKUP($P33,APOIO!$D:$E,2,FALSE)</f>
        <v>1.2.3.2.1.01.02.01.00</v>
      </c>
      <c r="P33" s="37" t="s">
        <v>80</v>
      </c>
      <c r="Q33" s="32" t="s">
        <v>59</v>
      </c>
      <c r="R33" s="33"/>
      <c r="S33" s="33"/>
      <c r="T33" s="32" t="s">
        <v>59</v>
      </c>
      <c r="U33" s="33"/>
      <c r="V33" s="33"/>
      <c r="W33" s="33"/>
      <c r="X33" s="61">
        <f t="shared" si="0"/>
        <v>345263.07</v>
      </c>
      <c r="Y33" s="33">
        <f t="shared" si="1"/>
        <v>69052.614000000001</v>
      </c>
      <c r="Z33" s="44">
        <f t="shared" si="2"/>
        <v>12</v>
      </c>
      <c r="AA33" s="43">
        <f t="shared" si="3"/>
        <v>920.70152000000007</v>
      </c>
      <c r="AB33" s="43">
        <f t="shared" si="4"/>
        <v>11048.418240000001</v>
      </c>
      <c r="AC33" s="43" t="str">
        <f>VLOOKUP($P33,APOIO!$D:$F,3,FALSE)</f>
        <v>1.2.3.8.1.02.01.02.01</v>
      </c>
      <c r="AD33" s="43">
        <f t="shared" si="5"/>
        <v>334214.65175999998</v>
      </c>
    </row>
    <row r="34" spans="1:30" x14ac:dyDescent="0.2">
      <c r="A34" s="32" t="str">
        <f ca="1">IFERROR(__xludf.DUMMYFUNCTION("CONCATENATE(""3."",APOIO!$B$2,""."",TEXT(INDEX(SPLIT(INDEX(A:A,ROW()-1,1),"".""),1,3)+1, ""00000""))"),"3.3262.00033")</f>
        <v>3.3262.00033</v>
      </c>
      <c r="B34" s="32" t="s">
        <v>191</v>
      </c>
      <c r="C34" s="32">
        <v>734</v>
      </c>
      <c r="D34" s="32" t="s">
        <v>46</v>
      </c>
      <c r="E34" s="37" t="s">
        <v>192</v>
      </c>
      <c r="F34" s="38">
        <v>43286</v>
      </c>
      <c r="G34" s="58">
        <v>90000</v>
      </c>
      <c r="H34" s="37" t="s">
        <v>78</v>
      </c>
      <c r="I34" s="40" t="s">
        <v>193</v>
      </c>
      <c r="J34" s="32" t="s">
        <v>53</v>
      </c>
      <c r="K34" s="32" t="s">
        <v>54</v>
      </c>
      <c r="L34" s="41" t="str">
        <f>APOIO!$A$2</f>
        <v>EMATER</v>
      </c>
      <c r="M34" s="59">
        <f>APOIO!$B$2</f>
        <v>3262</v>
      </c>
      <c r="N34" s="43">
        <v>90000</v>
      </c>
      <c r="O34" s="27" t="str">
        <f>VLOOKUP($P34,APOIO!$D:$E,2,FALSE)</f>
        <v>1.2.3.2.1.01.02.01.00</v>
      </c>
      <c r="P34" s="37" t="s">
        <v>80</v>
      </c>
      <c r="Q34" s="32" t="s">
        <v>59</v>
      </c>
      <c r="R34" s="33"/>
      <c r="S34" s="33"/>
      <c r="T34" s="32" t="s">
        <v>59</v>
      </c>
      <c r="U34" s="33"/>
      <c r="V34" s="33"/>
      <c r="W34" s="33"/>
      <c r="X34" s="61">
        <f t="shared" si="0"/>
        <v>90000</v>
      </c>
      <c r="Y34" s="33">
        <f t="shared" si="1"/>
        <v>18000</v>
      </c>
      <c r="Z34" s="44">
        <f t="shared" si="2"/>
        <v>12</v>
      </c>
      <c r="AA34" s="43">
        <f t="shared" si="3"/>
        <v>240</v>
      </c>
      <c r="AB34" s="43">
        <f t="shared" si="4"/>
        <v>2880</v>
      </c>
      <c r="AC34" s="43" t="str">
        <f>VLOOKUP($P34,APOIO!$D:$F,3,FALSE)</f>
        <v>1.2.3.8.1.02.01.02.01</v>
      </c>
      <c r="AD34" s="43">
        <f t="shared" si="5"/>
        <v>87120</v>
      </c>
    </row>
    <row r="35" spans="1:30" x14ac:dyDescent="0.2">
      <c r="A35" s="32" t="str">
        <f ca="1">IFERROR(__xludf.DUMMYFUNCTION("CONCATENATE(""3."",APOIO!$B$2,""."",TEXT(INDEX(SPLIT(INDEX(A:A,ROW()-1,1),"".""),1,3)+1, ""00000""))"),"3.3262.00034")</f>
        <v>3.3262.00034</v>
      </c>
      <c r="B35" s="32" t="s">
        <v>194</v>
      </c>
      <c r="C35" s="32">
        <v>14794</v>
      </c>
      <c r="D35" s="32" t="s">
        <v>46</v>
      </c>
      <c r="E35" s="37" t="s">
        <v>195</v>
      </c>
      <c r="F35" s="38">
        <v>42649</v>
      </c>
      <c r="G35" s="58">
        <v>106252.87</v>
      </c>
      <c r="H35" s="37" t="s">
        <v>78</v>
      </c>
      <c r="I35" s="40" t="s">
        <v>196</v>
      </c>
      <c r="J35" s="32" t="s">
        <v>53</v>
      </c>
      <c r="K35" s="32" t="s">
        <v>103</v>
      </c>
      <c r="L35" s="41" t="str">
        <f>APOIO!$A$2</f>
        <v>EMATER</v>
      </c>
      <c r="M35" s="59">
        <f>APOIO!$B$2</f>
        <v>3262</v>
      </c>
      <c r="N35" s="43">
        <v>106252.87</v>
      </c>
      <c r="O35" s="27" t="str">
        <f>VLOOKUP($P35,APOIO!$D:$E,2,FALSE)</f>
        <v>1.2.3.2.1.01.02.01.00</v>
      </c>
      <c r="P35" s="37" t="s">
        <v>80</v>
      </c>
      <c r="Q35" s="32" t="s">
        <v>59</v>
      </c>
      <c r="R35" s="33"/>
      <c r="S35" s="33"/>
      <c r="T35" s="32" t="s">
        <v>59</v>
      </c>
      <c r="U35" s="33"/>
      <c r="V35" s="33"/>
      <c r="W35" s="33"/>
      <c r="X35" s="61">
        <f t="shared" si="0"/>
        <v>106252.87</v>
      </c>
      <c r="Y35" s="33">
        <f t="shared" si="1"/>
        <v>21250.574000000001</v>
      </c>
      <c r="Z35" s="44">
        <f t="shared" si="2"/>
        <v>12</v>
      </c>
      <c r="AA35" s="43">
        <f t="shared" si="3"/>
        <v>283.34098666666665</v>
      </c>
      <c r="AB35" s="43">
        <f t="shared" si="4"/>
        <v>3400.09184</v>
      </c>
      <c r="AC35" s="43" t="str">
        <f>VLOOKUP($P35,APOIO!$D:$F,3,FALSE)</f>
        <v>1.2.3.8.1.02.01.02.01</v>
      </c>
      <c r="AD35" s="43">
        <f t="shared" si="5"/>
        <v>102852.77816</v>
      </c>
    </row>
    <row r="36" spans="1:30" x14ac:dyDescent="0.2">
      <c r="A36" s="32" t="str">
        <f ca="1">IFERROR(__xludf.DUMMYFUNCTION("CONCATENATE(""3."",APOIO!$B$2,""."",TEXT(INDEX(SPLIT(INDEX(A:A,ROW()-1,1),"".""),1,3)+1, ""00000""))"),"3.3262.00035")</f>
        <v>3.3262.00035</v>
      </c>
      <c r="B36" s="32" t="s">
        <v>197</v>
      </c>
      <c r="C36" s="32" t="s">
        <v>198</v>
      </c>
      <c r="D36" s="32" t="s">
        <v>46</v>
      </c>
      <c r="E36" s="37" t="s">
        <v>199</v>
      </c>
      <c r="F36" s="38">
        <v>44529</v>
      </c>
      <c r="G36" s="58">
        <v>16094.88</v>
      </c>
      <c r="H36" s="37" t="s">
        <v>78</v>
      </c>
      <c r="I36" s="40" t="s">
        <v>200</v>
      </c>
      <c r="J36" s="32" t="s">
        <v>53</v>
      </c>
      <c r="K36" s="32" t="s">
        <v>54</v>
      </c>
      <c r="L36" s="41" t="str">
        <f>APOIO!$A$2</f>
        <v>EMATER</v>
      </c>
      <c r="M36" s="59">
        <f>APOIO!$B$2</f>
        <v>3262</v>
      </c>
      <c r="N36" s="43">
        <v>70000</v>
      </c>
      <c r="O36" s="27" t="str">
        <f>VLOOKUP($P36,APOIO!$D:$E,2,FALSE)</f>
        <v>1.2.3.2.1.01.02.01.00</v>
      </c>
      <c r="P36" s="37" t="s">
        <v>80</v>
      </c>
      <c r="Q36" s="32" t="s">
        <v>59</v>
      </c>
      <c r="R36" s="33"/>
      <c r="S36" s="33"/>
      <c r="T36" s="32" t="s">
        <v>59</v>
      </c>
      <c r="U36" s="33"/>
      <c r="V36" s="33"/>
      <c r="W36" s="33"/>
      <c r="X36" s="61">
        <f t="shared" si="0"/>
        <v>70000</v>
      </c>
      <c r="Y36" s="33">
        <f t="shared" si="1"/>
        <v>14000</v>
      </c>
      <c r="Z36" s="44">
        <f t="shared" si="2"/>
        <v>12</v>
      </c>
      <c r="AA36" s="43">
        <f t="shared" si="3"/>
        <v>186.66666666666666</v>
      </c>
      <c r="AB36" s="43">
        <f t="shared" si="4"/>
        <v>2240</v>
      </c>
      <c r="AC36" s="43" t="str">
        <f>VLOOKUP($P36,APOIO!$D:$F,3,FALSE)</f>
        <v>1.2.3.8.1.02.01.02.01</v>
      </c>
      <c r="AD36" s="43">
        <f t="shared" si="5"/>
        <v>67760</v>
      </c>
    </row>
    <row r="37" spans="1:30" x14ac:dyDescent="0.2">
      <c r="A37" s="32" t="str">
        <f ca="1">IFERROR(__xludf.DUMMYFUNCTION("CONCATENATE(""3."",APOIO!$B$2,""."",TEXT(INDEX(SPLIT(INDEX(A:A,ROW()-1,1),"".""),1,3)+1, ""00000""))"),"3.3262.00036")</f>
        <v>3.3262.00036</v>
      </c>
      <c r="B37" s="32" t="s">
        <v>201</v>
      </c>
      <c r="C37" s="32">
        <v>4132</v>
      </c>
      <c r="D37" s="32" t="s">
        <v>46</v>
      </c>
      <c r="E37" s="37" t="s">
        <v>202</v>
      </c>
      <c r="F37" s="38">
        <v>43216</v>
      </c>
      <c r="G37" s="58">
        <v>28201.5</v>
      </c>
      <c r="H37" s="37" t="s">
        <v>78</v>
      </c>
      <c r="I37" s="40" t="s">
        <v>203</v>
      </c>
      <c r="J37" s="32" t="s">
        <v>53</v>
      </c>
      <c r="K37" s="32" t="s">
        <v>54</v>
      </c>
      <c r="L37" s="41" t="str">
        <f>APOIO!$A$2</f>
        <v>EMATER</v>
      </c>
      <c r="M37" s="59">
        <f>APOIO!$B$2</f>
        <v>3262</v>
      </c>
      <c r="N37" s="43">
        <v>28201.5</v>
      </c>
      <c r="O37" s="27" t="str">
        <f>VLOOKUP($P37,APOIO!$D:$E,2,FALSE)</f>
        <v>1.2.3.2.1.01.02.01.00</v>
      </c>
      <c r="P37" s="37" t="s">
        <v>80</v>
      </c>
      <c r="Q37" s="32" t="s">
        <v>59</v>
      </c>
      <c r="R37" s="33"/>
      <c r="S37" s="33"/>
      <c r="T37" s="32" t="s">
        <v>59</v>
      </c>
      <c r="U37" s="33"/>
      <c r="V37" s="33"/>
      <c r="W37" s="33"/>
      <c r="X37" s="61">
        <f t="shared" si="0"/>
        <v>28201.5</v>
      </c>
      <c r="Y37" s="33">
        <f t="shared" si="1"/>
        <v>5640.3</v>
      </c>
      <c r="Z37" s="44">
        <f t="shared" si="2"/>
        <v>12</v>
      </c>
      <c r="AA37" s="43">
        <f t="shared" si="3"/>
        <v>75.203999999999994</v>
      </c>
      <c r="AB37" s="43">
        <f t="shared" si="4"/>
        <v>902.44799999999987</v>
      </c>
      <c r="AC37" s="43" t="str">
        <f>VLOOKUP($P37,APOIO!$D:$F,3,FALSE)</f>
        <v>1.2.3.8.1.02.01.02.01</v>
      </c>
      <c r="AD37" s="43">
        <f t="shared" si="5"/>
        <v>27299.052</v>
      </c>
    </row>
    <row r="38" spans="1:30" x14ac:dyDescent="0.2">
      <c r="A38" s="32" t="str">
        <f ca="1">IFERROR(__xludf.DUMMYFUNCTION("CONCATENATE(""3."",APOIO!$B$2,""."",TEXT(INDEX(SPLIT(INDEX(A:A,ROW()-1,1),"".""),1,3)+1, ""00000""))"),"3.3262.00037")</f>
        <v>3.3262.00037</v>
      </c>
      <c r="B38" s="32" t="s">
        <v>204</v>
      </c>
      <c r="C38" s="32">
        <v>4872</v>
      </c>
      <c r="D38" s="32" t="s">
        <v>46</v>
      </c>
      <c r="E38" s="37">
        <v>754.64</v>
      </c>
      <c r="F38" s="38">
        <v>43116</v>
      </c>
      <c r="G38" s="58">
        <v>322053.34000000003</v>
      </c>
      <c r="H38" s="37" t="s">
        <v>78</v>
      </c>
      <c r="I38" s="40" t="s">
        <v>205</v>
      </c>
      <c r="J38" s="32" t="s">
        <v>53</v>
      </c>
      <c r="K38" s="32" t="s">
        <v>103</v>
      </c>
      <c r="L38" s="41" t="str">
        <f>APOIO!$A$2</f>
        <v>EMATER</v>
      </c>
      <c r="M38" s="59">
        <f>APOIO!$B$2</f>
        <v>3262</v>
      </c>
      <c r="N38" s="43">
        <v>322053.34000000003</v>
      </c>
      <c r="O38" s="27" t="str">
        <f>VLOOKUP($P38,APOIO!$D:$E,2,FALSE)</f>
        <v>1.2.3.2.1.01.02.01.00</v>
      </c>
      <c r="P38" s="37" t="s">
        <v>80</v>
      </c>
      <c r="Q38" s="32" t="s">
        <v>59</v>
      </c>
      <c r="R38" s="33"/>
      <c r="S38" s="33"/>
      <c r="T38" s="32" t="s">
        <v>59</v>
      </c>
      <c r="U38" s="33"/>
      <c r="V38" s="33"/>
      <c r="W38" s="33"/>
      <c r="X38" s="61">
        <f t="shared" si="0"/>
        <v>322053.34000000003</v>
      </c>
      <c r="Y38" s="33">
        <f t="shared" si="1"/>
        <v>64410.668000000005</v>
      </c>
      <c r="Z38" s="44">
        <f t="shared" si="2"/>
        <v>12</v>
      </c>
      <c r="AA38" s="43">
        <f t="shared" si="3"/>
        <v>858.80890666666676</v>
      </c>
      <c r="AB38" s="43">
        <f t="shared" si="4"/>
        <v>10305.706880000002</v>
      </c>
      <c r="AC38" s="43" t="str">
        <f>VLOOKUP($P38,APOIO!$D:$F,3,FALSE)</f>
        <v>1.2.3.8.1.02.01.02.01</v>
      </c>
      <c r="AD38" s="43">
        <f t="shared" si="5"/>
        <v>311747.63312000001</v>
      </c>
    </row>
    <row r="39" spans="1:30" x14ac:dyDescent="0.2">
      <c r="A39" s="32" t="str">
        <f ca="1">IFERROR(__xludf.DUMMYFUNCTION("CONCATENATE(""3."",APOIO!$B$2,""."",TEXT(INDEX(SPLIT(INDEX(A:A,ROW()-1,1),"".""),1,3)+1, ""00000""))"),"3.3262.00038")</f>
        <v>3.3262.00038</v>
      </c>
      <c r="B39" s="32" t="s">
        <v>206</v>
      </c>
      <c r="C39" s="32">
        <v>12874</v>
      </c>
      <c r="D39" s="32" t="s">
        <v>46</v>
      </c>
      <c r="E39" s="37" t="s">
        <v>207</v>
      </c>
      <c r="F39" s="38">
        <v>43248</v>
      </c>
      <c r="G39" s="58">
        <v>94909.26</v>
      </c>
      <c r="H39" s="37" t="s">
        <v>78</v>
      </c>
      <c r="I39" s="40" t="s">
        <v>208</v>
      </c>
      <c r="J39" s="32" t="s">
        <v>53</v>
      </c>
      <c r="K39" s="32" t="s">
        <v>54</v>
      </c>
      <c r="L39" s="41" t="str">
        <f>APOIO!$A$2</f>
        <v>EMATER</v>
      </c>
      <c r="M39" s="59">
        <f>APOIO!$B$2</f>
        <v>3262</v>
      </c>
      <c r="N39" s="43">
        <v>94909.26</v>
      </c>
      <c r="O39" s="27" t="str">
        <f>VLOOKUP($P39,APOIO!$D:$E,2,FALSE)</f>
        <v>1.2.3.2.1.01.02.01.00</v>
      </c>
      <c r="P39" s="37" t="s">
        <v>80</v>
      </c>
      <c r="Q39" s="32" t="s">
        <v>59</v>
      </c>
      <c r="R39" s="33"/>
      <c r="S39" s="33"/>
      <c r="T39" s="32" t="s">
        <v>59</v>
      </c>
      <c r="U39" s="33"/>
      <c r="V39" s="33"/>
      <c r="W39" s="33"/>
      <c r="X39" s="61">
        <f t="shared" si="0"/>
        <v>94909.26</v>
      </c>
      <c r="Y39" s="33">
        <f t="shared" si="1"/>
        <v>18981.851999999999</v>
      </c>
      <c r="Z39" s="44">
        <f t="shared" si="2"/>
        <v>12</v>
      </c>
      <c r="AA39" s="43">
        <f t="shared" si="3"/>
        <v>253.09135999999998</v>
      </c>
      <c r="AB39" s="43">
        <f t="shared" si="4"/>
        <v>3037.0963199999997</v>
      </c>
      <c r="AC39" s="43" t="str">
        <f>VLOOKUP($P39,APOIO!$D:$F,3,FALSE)</f>
        <v>1.2.3.8.1.02.01.02.01</v>
      </c>
      <c r="AD39" s="43">
        <f t="shared" si="5"/>
        <v>91872.163679999998</v>
      </c>
    </row>
    <row r="40" spans="1:30" x14ac:dyDescent="0.2">
      <c r="A40" s="32" t="str">
        <f ca="1">IFERROR(__xludf.DUMMYFUNCTION("CONCATENATE(""3."",APOIO!$B$2,""."",TEXT(INDEX(SPLIT(INDEX(A:A,ROW()-1,1),"".""),1,3)+1, ""00000""))"),"3.3262.00039")</f>
        <v>3.3262.00039</v>
      </c>
      <c r="B40" s="32" t="s">
        <v>209</v>
      </c>
      <c r="C40" s="32">
        <v>1416</v>
      </c>
      <c r="D40" s="32" t="s">
        <v>46</v>
      </c>
      <c r="E40" s="37" t="s">
        <v>199</v>
      </c>
      <c r="F40" s="38">
        <v>43301</v>
      </c>
      <c r="G40" s="58">
        <v>20940</v>
      </c>
      <c r="H40" s="37" t="s">
        <v>78</v>
      </c>
      <c r="I40" s="40" t="s">
        <v>210</v>
      </c>
      <c r="J40" s="32" t="s">
        <v>53</v>
      </c>
      <c r="K40" s="32" t="s">
        <v>103</v>
      </c>
      <c r="L40" s="41" t="str">
        <f>APOIO!$A$2</f>
        <v>EMATER</v>
      </c>
      <c r="M40" s="59">
        <f>APOIO!$B$2</f>
        <v>3262</v>
      </c>
      <c r="N40" s="43">
        <v>20940</v>
      </c>
      <c r="O40" s="27" t="str">
        <f>VLOOKUP($P40,APOIO!$D:$E,2,FALSE)</f>
        <v>1.2.3.2.1.01.02.01.00</v>
      </c>
      <c r="P40" s="37" t="s">
        <v>80</v>
      </c>
      <c r="Q40" s="32" t="s">
        <v>59</v>
      </c>
      <c r="R40" s="33"/>
      <c r="S40" s="33"/>
      <c r="T40" s="32" t="s">
        <v>59</v>
      </c>
      <c r="U40" s="33"/>
      <c r="V40" s="33"/>
      <c r="W40" s="33"/>
      <c r="X40" s="61">
        <f t="shared" si="0"/>
        <v>20940</v>
      </c>
      <c r="Y40" s="33">
        <f t="shared" si="1"/>
        <v>4188</v>
      </c>
      <c r="Z40" s="44">
        <f t="shared" si="2"/>
        <v>12</v>
      </c>
      <c r="AA40" s="43">
        <f t="shared" si="3"/>
        <v>55.84</v>
      </c>
      <c r="AB40" s="43">
        <f t="shared" si="4"/>
        <v>670.08</v>
      </c>
      <c r="AC40" s="43" t="str">
        <f>VLOOKUP($P40,APOIO!$D:$F,3,FALSE)</f>
        <v>1.2.3.8.1.02.01.02.01</v>
      </c>
      <c r="AD40" s="43">
        <f t="shared" si="5"/>
        <v>20269.919999999998</v>
      </c>
    </row>
    <row r="41" spans="1:30" x14ac:dyDescent="0.2">
      <c r="A41" s="32" t="str">
        <f ca="1">IFERROR(__xludf.DUMMYFUNCTION("CONCATENATE(""3."",APOIO!$B$2,""."",TEXT(INDEX(SPLIT(INDEX(A:A,ROW()-1,1),"".""),1,3)+1, ""00000""))"),"3.3262.00040")</f>
        <v>3.3262.00040</v>
      </c>
      <c r="B41" s="32" t="s">
        <v>211</v>
      </c>
      <c r="C41" s="32">
        <v>1704</v>
      </c>
      <c r="D41" s="32" t="s">
        <v>46</v>
      </c>
      <c r="E41" s="37" t="s">
        <v>119</v>
      </c>
      <c r="F41" s="38">
        <v>43180</v>
      </c>
      <c r="G41" s="58">
        <v>70727.34</v>
      </c>
      <c r="H41" s="37" t="s">
        <v>78</v>
      </c>
      <c r="I41" s="40" t="s">
        <v>212</v>
      </c>
      <c r="J41" s="32" t="s">
        <v>53</v>
      </c>
      <c r="K41" s="32" t="s">
        <v>103</v>
      </c>
      <c r="L41" s="41" t="str">
        <f>APOIO!$A$2</f>
        <v>EMATER</v>
      </c>
      <c r="M41" s="59">
        <f>APOIO!$B$2</f>
        <v>3262</v>
      </c>
      <c r="N41" s="43">
        <v>70727.34</v>
      </c>
      <c r="O41" s="27" t="str">
        <f>VLOOKUP($P41,APOIO!$D:$E,2,FALSE)</f>
        <v>1.2.3.2.1.01.02.01.00</v>
      </c>
      <c r="P41" s="37" t="s">
        <v>80</v>
      </c>
      <c r="Q41" s="32" t="s">
        <v>59</v>
      </c>
      <c r="R41" s="33"/>
      <c r="S41" s="33"/>
      <c r="T41" s="32" t="s">
        <v>59</v>
      </c>
      <c r="U41" s="33"/>
      <c r="V41" s="33"/>
      <c r="W41" s="33"/>
      <c r="X41" s="61">
        <f t="shared" si="0"/>
        <v>70727.34</v>
      </c>
      <c r="Y41" s="33">
        <f t="shared" si="1"/>
        <v>14145.467999999999</v>
      </c>
      <c r="Z41" s="44">
        <f t="shared" si="2"/>
        <v>12</v>
      </c>
      <c r="AA41" s="43">
        <f t="shared" si="3"/>
        <v>188.60623999999999</v>
      </c>
      <c r="AB41" s="43">
        <f t="shared" si="4"/>
        <v>2263.2748799999999</v>
      </c>
      <c r="AC41" s="43" t="str">
        <f>VLOOKUP($P41,APOIO!$D:$F,3,FALSE)</f>
        <v>1.2.3.8.1.02.01.02.01</v>
      </c>
      <c r="AD41" s="43">
        <f t="shared" si="5"/>
        <v>68464.065119999999</v>
      </c>
    </row>
    <row r="42" spans="1:30" x14ac:dyDescent="0.2">
      <c r="A42" s="32" t="str">
        <f ca="1">IFERROR(__xludf.DUMMYFUNCTION("CONCATENATE(""3."",APOIO!$B$2,""."",TEXT(INDEX(SPLIT(INDEX(A:A,ROW()-1,1),"".""),1,3)+1, ""00000""))"),"3.3262.00041")</f>
        <v>3.3262.00041</v>
      </c>
      <c r="B42" s="32" t="s">
        <v>213</v>
      </c>
      <c r="C42" s="32">
        <v>1245</v>
      </c>
      <c r="D42" s="32" t="s">
        <v>46</v>
      </c>
      <c r="E42" s="37" t="s">
        <v>214</v>
      </c>
      <c r="F42" s="38">
        <v>43374</v>
      </c>
      <c r="G42" s="58">
        <v>82806.3</v>
      </c>
      <c r="H42" s="37" t="s">
        <v>78</v>
      </c>
      <c r="I42" s="40" t="s">
        <v>215</v>
      </c>
      <c r="J42" s="32" t="s">
        <v>53</v>
      </c>
      <c r="K42" s="32" t="s">
        <v>103</v>
      </c>
      <c r="L42" s="41" t="str">
        <f>APOIO!$A$2</f>
        <v>EMATER</v>
      </c>
      <c r="M42" s="59">
        <f>APOIO!$B$2</f>
        <v>3262</v>
      </c>
      <c r="N42" s="43">
        <v>82806.3</v>
      </c>
      <c r="O42" s="27" t="str">
        <f>VLOOKUP($P42,APOIO!$D:$E,2,FALSE)</f>
        <v>1.2.3.2.1.01.02.01.00</v>
      </c>
      <c r="P42" s="37" t="s">
        <v>80</v>
      </c>
      <c r="Q42" s="32" t="s">
        <v>59</v>
      </c>
      <c r="R42" s="33"/>
      <c r="S42" s="33"/>
      <c r="T42" s="32" t="s">
        <v>59</v>
      </c>
      <c r="U42" s="33"/>
      <c r="V42" s="33"/>
      <c r="W42" s="33"/>
      <c r="X42" s="61">
        <f t="shared" si="0"/>
        <v>82806.3</v>
      </c>
      <c r="Y42" s="33">
        <f t="shared" si="1"/>
        <v>16561.259999999998</v>
      </c>
      <c r="Z42" s="44">
        <f t="shared" si="2"/>
        <v>12</v>
      </c>
      <c r="AA42" s="43">
        <f t="shared" si="3"/>
        <v>220.81680000000003</v>
      </c>
      <c r="AB42" s="43">
        <f t="shared" si="4"/>
        <v>2649.8016000000002</v>
      </c>
      <c r="AC42" s="43" t="str">
        <f>VLOOKUP($P42,APOIO!$D:$F,3,FALSE)</f>
        <v>1.2.3.8.1.02.01.02.01</v>
      </c>
      <c r="AD42" s="43">
        <f t="shared" si="5"/>
        <v>80156.498399999997</v>
      </c>
    </row>
    <row r="43" spans="1:30" x14ac:dyDescent="0.2">
      <c r="A43" s="32" t="str">
        <f ca="1">IFERROR(__xludf.DUMMYFUNCTION("CONCATENATE(""3."",APOIO!$B$2,""."",TEXT(INDEX(SPLIT(INDEX(A:A,ROW()-1,1),"".""),1,3)+1, ""00000""))"),"3.3262.00042")</f>
        <v>3.3262.00042</v>
      </c>
      <c r="B43" s="32" t="s">
        <v>216</v>
      </c>
      <c r="C43" s="32">
        <v>105</v>
      </c>
      <c r="D43" s="32" t="s">
        <v>46</v>
      </c>
      <c r="E43" s="37" t="s">
        <v>199</v>
      </c>
      <c r="F43" s="38">
        <v>43307</v>
      </c>
      <c r="G43" s="58">
        <v>49730.15</v>
      </c>
      <c r="H43" s="37" t="s">
        <v>78</v>
      </c>
      <c r="I43" s="40" t="s">
        <v>217</v>
      </c>
      <c r="J43" s="32" t="s">
        <v>53</v>
      </c>
      <c r="K43" s="32" t="s">
        <v>103</v>
      </c>
      <c r="L43" s="41" t="str">
        <f>APOIO!$A$2</f>
        <v>EMATER</v>
      </c>
      <c r="M43" s="59">
        <f>APOIO!$B$2</f>
        <v>3262</v>
      </c>
      <c r="N43" s="43">
        <v>49730.15</v>
      </c>
      <c r="O43" s="27" t="str">
        <f>VLOOKUP($P43,APOIO!$D:$E,2,FALSE)</f>
        <v>1.2.3.2.1.01.02.01.00</v>
      </c>
      <c r="P43" s="37" t="s">
        <v>80</v>
      </c>
      <c r="Q43" s="32" t="s">
        <v>59</v>
      </c>
      <c r="R43" s="33"/>
      <c r="S43" s="33"/>
      <c r="T43" s="32" t="s">
        <v>59</v>
      </c>
      <c r="U43" s="33"/>
      <c r="V43" s="33"/>
      <c r="W43" s="33"/>
      <c r="X43" s="61">
        <f t="shared" si="0"/>
        <v>49730.15</v>
      </c>
      <c r="Y43" s="33">
        <f t="shared" si="1"/>
        <v>9946.0300000000007</v>
      </c>
      <c r="Z43" s="44">
        <f t="shared" si="2"/>
        <v>12</v>
      </c>
      <c r="AA43" s="43">
        <f t="shared" si="3"/>
        <v>132.61373333333333</v>
      </c>
      <c r="AB43" s="43">
        <f t="shared" si="4"/>
        <v>1591.3647999999998</v>
      </c>
      <c r="AC43" s="43" t="str">
        <f>VLOOKUP($P43,APOIO!$D:$F,3,FALSE)</f>
        <v>1.2.3.8.1.02.01.02.01</v>
      </c>
      <c r="AD43" s="43">
        <f t="shared" si="5"/>
        <v>48138.785199999998</v>
      </c>
    </row>
    <row r="44" spans="1:30" x14ac:dyDescent="0.2">
      <c r="A44" s="32" t="str">
        <f ca="1">IFERROR(__xludf.DUMMYFUNCTION("CONCATENATE(""3."",APOIO!$B$2,""."",TEXT(INDEX(SPLIT(INDEX(A:A,ROW()-1,1),"".""),1,3)+1, ""00000""))"),"3.3262.00043")</f>
        <v>3.3262.00043</v>
      </c>
      <c r="B44" s="32" t="s">
        <v>218</v>
      </c>
      <c r="C44" s="32">
        <v>7302</v>
      </c>
      <c r="D44" s="32" t="s">
        <v>46</v>
      </c>
      <c r="E44" s="37" t="s">
        <v>219</v>
      </c>
      <c r="F44" s="38">
        <v>43269</v>
      </c>
      <c r="G44" s="58">
        <v>15372.65</v>
      </c>
      <c r="H44" s="37" t="s">
        <v>78</v>
      </c>
      <c r="I44" s="40" t="s">
        <v>220</v>
      </c>
      <c r="J44" s="32" t="s">
        <v>53</v>
      </c>
      <c r="K44" s="32" t="s">
        <v>103</v>
      </c>
      <c r="L44" s="41" t="str">
        <f>APOIO!$A$2</f>
        <v>EMATER</v>
      </c>
      <c r="M44" s="59">
        <f>APOIO!$B$2</f>
        <v>3262</v>
      </c>
      <c r="N44" s="43">
        <v>15372.65</v>
      </c>
      <c r="O44" s="27" t="str">
        <f>VLOOKUP($P44,APOIO!$D:$E,2,FALSE)</f>
        <v>1.2.3.2.1.01.02.01.00</v>
      </c>
      <c r="P44" s="37" t="s">
        <v>80</v>
      </c>
      <c r="Q44" s="32" t="s">
        <v>59</v>
      </c>
      <c r="R44" s="33"/>
      <c r="S44" s="33"/>
      <c r="T44" s="32" t="s">
        <v>59</v>
      </c>
      <c r="U44" s="33"/>
      <c r="V44" s="33"/>
      <c r="W44" s="33"/>
      <c r="X44" s="61">
        <f t="shared" si="0"/>
        <v>15372.65</v>
      </c>
      <c r="Y44" s="33">
        <f t="shared" si="1"/>
        <v>3074.53</v>
      </c>
      <c r="Z44" s="44">
        <f t="shared" si="2"/>
        <v>12</v>
      </c>
      <c r="AA44" s="43">
        <f t="shared" si="3"/>
        <v>40.993733333333331</v>
      </c>
      <c r="AB44" s="43">
        <f t="shared" si="4"/>
        <v>491.9248</v>
      </c>
      <c r="AC44" s="43" t="str">
        <f>VLOOKUP($P44,APOIO!$D:$F,3,FALSE)</f>
        <v>1.2.3.8.1.02.01.02.01</v>
      </c>
      <c r="AD44" s="43">
        <f t="shared" si="5"/>
        <v>14880.725199999999</v>
      </c>
    </row>
    <row r="45" spans="1:30" x14ac:dyDescent="0.2">
      <c r="A45" s="32" t="str">
        <f ca="1">IFERROR(__xludf.DUMMYFUNCTION("CONCATENATE(""3."",APOIO!$B$2,""."",TEXT(INDEX(SPLIT(INDEX(A:A,ROW()-1,1),"".""),1,3)+1, ""00000""))"),"3.3262.00044")</f>
        <v>3.3262.00044</v>
      </c>
      <c r="B45" s="32" t="s">
        <v>221</v>
      </c>
      <c r="C45" s="32">
        <v>3392</v>
      </c>
      <c r="D45" s="32" t="s">
        <v>46</v>
      </c>
      <c r="E45" s="37" t="s">
        <v>222</v>
      </c>
      <c r="F45" s="38">
        <v>43265</v>
      </c>
      <c r="G45" s="58">
        <v>56644.63</v>
      </c>
      <c r="H45" s="37" t="s">
        <v>78</v>
      </c>
      <c r="I45" s="40" t="s">
        <v>223</v>
      </c>
      <c r="J45" s="32" t="s">
        <v>53</v>
      </c>
      <c r="K45" s="32" t="s">
        <v>103</v>
      </c>
      <c r="L45" s="41" t="str">
        <f>APOIO!$A$2</f>
        <v>EMATER</v>
      </c>
      <c r="M45" s="59">
        <f>APOIO!$B$2</f>
        <v>3262</v>
      </c>
      <c r="N45" s="43">
        <v>56644.63</v>
      </c>
      <c r="O45" s="27" t="str">
        <f>VLOOKUP($P45,APOIO!$D:$E,2,FALSE)</f>
        <v>1.2.3.2.1.01.02.01.00</v>
      </c>
      <c r="P45" s="37" t="s">
        <v>80</v>
      </c>
      <c r="Q45" s="32" t="s">
        <v>59</v>
      </c>
      <c r="R45" s="33"/>
      <c r="S45" s="33"/>
      <c r="T45" s="32" t="s">
        <v>59</v>
      </c>
      <c r="U45" s="33"/>
      <c r="V45" s="33"/>
      <c r="W45" s="33"/>
      <c r="X45" s="61">
        <f t="shared" si="0"/>
        <v>56644.63</v>
      </c>
      <c r="Y45" s="33">
        <f t="shared" si="1"/>
        <v>11328.925999999999</v>
      </c>
      <c r="Z45" s="44">
        <f t="shared" si="2"/>
        <v>12</v>
      </c>
      <c r="AA45" s="43">
        <f t="shared" si="3"/>
        <v>151.05234666666666</v>
      </c>
      <c r="AB45" s="43">
        <f t="shared" si="4"/>
        <v>1812.62816</v>
      </c>
      <c r="AC45" s="43" t="str">
        <f>VLOOKUP($P45,APOIO!$D:$F,3,FALSE)</f>
        <v>1.2.3.8.1.02.01.02.01</v>
      </c>
      <c r="AD45" s="43">
        <f t="shared" si="5"/>
        <v>54832.001839999997</v>
      </c>
    </row>
    <row r="46" spans="1:30" x14ac:dyDescent="0.2">
      <c r="A46" s="32" t="str">
        <f ca="1">IFERROR(__xludf.DUMMYFUNCTION("CONCATENATE(""3."",APOIO!$B$2,""."",TEXT(INDEX(SPLIT(INDEX(A:A,ROW()-1,1),"".""),1,3)+1, ""00000""))"),"3.3262.00045")</f>
        <v>3.3262.00045</v>
      </c>
      <c r="B46" s="32" t="s">
        <v>224</v>
      </c>
      <c r="C46" s="32">
        <v>714</v>
      </c>
      <c r="D46" s="32" t="s">
        <v>46</v>
      </c>
      <c r="E46" s="37" t="s">
        <v>225</v>
      </c>
      <c r="F46" s="38">
        <v>43280</v>
      </c>
      <c r="G46" s="58">
        <v>8000</v>
      </c>
      <c r="H46" s="37" t="s">
        <v>78</v>
      </c>
      <c r="I46" s="40" t="s">
        <v>226</v>
      </c>
      <c r="J46" s="32" t="s">
        <v>53</v>
      </c>
      <c r="K46" s="32" t="s">
        <v>103</v>
      </c>
      <c r="L46" s="41" t="str">
        <f>APOIO!$A$2</f>
        <v>EMATER</v>
      </c>
      <c r="M46" s="59">
        <f>APOIO!$B$2</f>
        <v>3262</v>
      </c>
      <c r="N46" s="43">
        <v>8000</v>
      </c>
      <c r="O46" s="27" t="str">
        <f>VLOOKUP($P46,APOIO!$D:$E,2,FALSE)</f>
        <v>1.2.3.2.1.01.02.01.00</v>
      </c>
      <c r="P46" s="37" t="s">
        <v>80</v>
      </c>
      <c r="Q46" s="32" t="s">
        <v>59</v>
      </c>
      <c r="R46" s="33"/>
      <c r="S46" s="33"/>
      <c r="T46" s="32" t="s">
        <v>59</v>
      </c>
      <c r="U46" s="33"/>
      <c r="V46" s="33"/>
      <c r="W46" s="33"/>
      <c r="X46" s="61">
        <f t="shared" si="0"/>
        <v>8000</v>
      </c>
      <c r="Y46" s="33">
        <f t="shared" si="1"/>
        <v>1600</v>
      </c>
      <c r="Z46" s="44">
        <f t="shared" si="2"/>
        <v>12</v>
      </c>
      <c r="AA46" s="43">
        <f t="shared" si="3"/>
        <v>21.333333333333332</v>
      </c>
      <c r="AB46" s="43">
        <f t="shared" si="4"/>
        <v>256</v>
      </c>
      <c r="AC46" s="43" t="str">
        <f>VLOOKUP($P46,APOIO!$D:$F,3,FALSE)</f>
        <v>1.2.3.8.1.02.01.02.01</v>
      </c>
      <c r="AD46" s="43">
        <f t="shared" si="5"/>
        <v>7744</v>
      </c>
    </row>
    <row r="47" spans="1:30" x14ac:dyDescent="0.2">
      <c r="A47" s="32" t="str">
        <f ca="1">IFERROR(__xludf.DUMMYFUNCTION("CONCATENATE(""3."",APOIO!$B$2,""."",TEXT(INDEX(SPLIT(INDEX(A:A,ROW()-1,1),"".""),1,3)+1, ""00000""))"),"3.3262.00046")</f>
        <v>3.3262.00046</v>
      </c>
      <c r="B47" s="32" t="s">
        <v>227</v>
      </c>
      <c r="C47" s="32">
        <v>1353</v>
      </c>
      <c r="D47" s="32" t="s">
        <v>46</v>
      </c>
      <c r="E47" s="37" t="s">
        <v>228</v>
      </c>
      <c r="F47" s="38">
        <v>43179</v>
      </c>
      <c r="G47" s="58">
        <v>10235</v>
      </c>
      <c r="H47" s="37" t="s">
        <v>78</v>
      </c>
      <c r="I47" s="40" t="s">
        <v>229</v>
      </c>
      <c r="J47" s="32" t="s">
        <v>53</v>
      </c>
      <c r="K47" s="32" t="s">
        <v>103</v>
      </c>
      <c r="L47" s="41" t="str">
        <f>APOIO!$A$2</f>
        <v>EMATER</v>
      </c>
      <c r="M47" s="59">
        <f>APOIO!$B$2</f>
        <v>3262</v>
      </c>
      <c r="N47" s="43">
        <v>10235</v>
      </c>
      <c r="O47" s="27" t="str">
        <f>VLOOKUP($P47,APOIO!$D:$E,2,FALSE)</f>
        <v>1.2.3.2.1.01.02.01.00</v>
      </c>
      <c r="P47" s="37" t="s">
        <v>80</v>
      </c>
      <c r="Q47" s="32" t="s">
        <v>59</v>
      </c>
      <c r="R47" s="33"/>
      <c r="S47" s="33"/>
      <c r="T47" s="32" t="s">
        <v>59</v>
      </c>
      <c r="U47" s="33"/>
      <c r="V47" s="33"/>
      <c r="W47" s="33"/>
      <c r="X47" s="61">
        <f t="shared" si="0"/>
        <v>10235</v>
      </c>
      <c r="Y47" s="33">
        <f t="shared" si="1"/>
        <v>2047</v>
      </c>
      <c r="Z47" s="44">
        <f t="shared" si="2"/>
        <v>12</v>
      </c>
      <c r="AA47" s="43">
        <f t="shared" si="3"/>
        <v>27.293333333333333</v>
      </c>
      <c r="AB47" s="43">
        <f t="shared" si="4"/>
        <v>327.52</v>
      </c>
      <c r="AC47" s="43" t="str">
        <f>VLOOKUP($P47,APOIO!$D:$F,3,FALSE)</f>
        <v>1.2.3.8.1.02.01.02.01</v>
      </c>
      <c r="AD47" s="43">
        <f t="shared" si="5"/>
        <v>9907.48</v>
      </c>
    </row>
    <row r="48" spans="1:30" x14ac:dyDescent="0.2">
      <c r="A48" s="32" t="str">
        <f ca="1">IFERROR(__xludf.DUMMYFUNCTION("CONCATENATE(""3."",APOIO!$B$2,""."",TEXT(INDEX(SPLIT(INDEX(A:A,ROW()-1,1),"".""),1,3)+1, ""00000""))"),"3.3262.00047")</f>
        <v>3.3262.00047</v>
      </c>
      <c r="B48" s="32" t="s">
        <v>230</v>
      </c>
      <c r="C48" s="32">
        <v>12046</v>
      </c>
      <c r="D48" s="32" t="s">
        <v>46</v>
      </c>
      <c r="E48" s="37" t="s">
        <v>231</v>
      </c>
      <c r="F48" s="38">
        <v>43363</v>
      </c>
      <c r="G48" s="58">
        <v>31266.36</v>
      </c>
      <c r="H48" s="37" t="s">
        <v>78</v>
      </c>
      <c r="I48" s="40" t="s">
        <v>232</v>
      </c>
      <c r="J48" s="32" t="s">
        <v>53</v>
      </c>
      <c r="K48" s="32" t="s">
        <v>103</v>
      </c>
      <c r="L48" s="41" t="str">
        <f>APOIO!$A$2</f>
        <v>EMATER</v>
      </c>
      <c r="M48" s="59">
        <f>APOIO!$B$2</f>
        <v>3262</v>
      </c>
      <c r="N48" s="43">
        <v>31266.36</v>
      </c>
      <c r="O48" s="27" t="str">
        <f>VLOOKUP($P48,APOIO!$D:$E,2,FALSE)</f>
        <v>1.2.3.2.1.01.02.01.00</v>
      </c>
      <c r="P48" s="37" t="s">
        <v>80</v>
      </c>
      <c r="Q48" s="32" t="s">
        <v>59</v>
      </c>
      <c r="R48" s="33"/>
      <c r="S48" s="33"/>
      <c r="T48" s="32" t="s">
        <v>59</v>
      </c>
      <c r="U48" s="33"/>
      <c r="V48" s="33"/>
      <c r="W48" s="33"/>
      <c r="X48" s="61">
        <f t="shared" si="0"/>
        <v>31266.36</v>
      </c>
      <c r="Y48" s="33">
        <f t="shared" si="1"/>
        <v>6253.2719999999999</v>
      </c>
      <c r="Z48" s="44">
        <f t="shared" si="2"/>
        <v>12</v>
      </c>
      <c r="AA48" s="43">
        <f t="shared" si="3"/>
        <v>83.376959999999997</v>
      </c>
      <c r="AB48" s="43">
        <f t="shared" si="4"/>
        <v>1000.52352</v>
      </c>
      <c r="AC48" s="43" t="str">
        <f>VLOOKUP($P48,APOIO!$D:$F,3,FALSE)</f>
        <v>1.2.3.8.1.02.01.02.01</v>
      </c>
      <c r="AD48" s="43">
        <f t="shared" si="5"/>
        <v>30265.836480000002</v>
      </c>
    </row>
    <row r="49" spans="1:30" x14ac:dyDescent="0.2">
      <c r="A49" s="32" t="str">
        <f ca="1">IFERROR(__xludf.DUMMYFUNCTION("CONCATENATE(""3."",APOIO!$B$2,""."",TEXT(INDEX(SPLIT(INDEX(A:A,ROW()-1,1),"".""),1,3)+1, ""00000""))"),"3.3262.00048")</f>
        <v>3.3262.00048</v>
      </c>
      <c r="B49" s="32" t="s">
        <v>230</v>
      </c>
      <c r="C49" s="32">
        <v>6234</v>
      </c>
      <c r="D49" s="32" t="s">
        <v>46</v>
      </c>
      <c r="E49" s="37" t="s">
        <v>233</v>
      </c>
      <c r="F49" s="38"/>
      <c r="G49" s="58">
        <v>31266.36</v>
      </c>
      <c r="H49" s="37" t="s">
        <v>114</v>
      </c>
      <c r="I49" s="40" t="s">
        <v>234</v>
      </c>
      <c r="J49" s="32" t="s">
        <v>116</v>
      </c>
      <c r="K49" s="32" t="s">
        <v>103</v>
      </c>
      <c r="L49" s="41" t="str">
        <f>APOIO!$A$2</f>
        <v>EMATER</v>
      </c>
      <c r="M49" s="59">
        <f>APOIO!$B$2</f>
        <v>3262</v>
      </c>
      <c r="N49" s="43">
        <v>31266.36</v>
      </c>
      <c r="O49" s="27" t="str">
        <f>VLOOKUP($P49,APOIO!$D:$E,2,FALSE)</f>
        <v>1.2.3.2.1.01.10.01.00</v>
      </c>
      <c r="P49" s="37" t="s">
        <v>117</v>
      </c>
      <c r="Q49" s="32" t="s">
        <v>59</v>
      </c>
      <c r="R49" s="33"/>
      <c r="S49" s="33"/>
      <c r="T49" s="32" t="s">
        <v>59</v>
      </c>
      <c r="U49" s="33"/>
      <c r="V49" s="33"/>
      <c r="W49" s="33"/>
      <c r="X49" s="61">
        <f t="shared" si="0"/>
        <v>31266.36</v>
      </c>
      <c r="Y49" s="33">
        <f t="shared" si="1"/>
        <v>0</v>
      </c>
      <c r="Z49" s="44">
        <f t="shared" si="2"/>
        <v>0</v>
      </c>
      <c r="AA49" s="43">
        <f t="shared" si="3"/>
        <v>0</v>
      </c>
      <c r="AB49" s="43">
        <f t="shared" si="4"/>
        <v>0</v>
      </c>
      <c r="AC49" s="43" t="str">
        <f>VLOOKUP($P49,APOIO!$D:$F,3,FALSE)</f>
        <v>1.2.3.8.1.02.01.10.01</v>
      </c>
      <c r="AD49" s="43">
        <f t="shared" si="5"/>
        <v>31266.36</v>
      </c>
    </row>
    <row r="50" spans="1:30" x14ac:dyDescent="0.2">
      <c r="A50" s="32" t="str">
        <f ca="1">IFERROR(__xludf.DUMMYFUNCTION("CONCATENATE(""3."",APOIO!$B$2,""."",TEXT(INDEX(SPLIT(INDEX(A:A,ROW()-1,1),"".""),1,3)+1, ""00000""))"),"3.3262.00049")</f>
        <v>3.3262.00049</v>
      </c>
      <c r="B50" s="32" t="s">
        <v>235</v>
      </c>
      <c r="C50" s="32">
        <v>619</v>
      </c>
      <c r="D50" s="32" t="s">
        <v>46</v>
      </c>
      <c r="E50" s="37" t="s">
        <v>236</v>
      </c>
      <c r="F50" s="38">
        <v>43116</v>
      </c>
      <c r="G50" s="58">
        <v>24352.76</v>
      </c>
      <c r="H50" s="37" t="s">
        <v>140</v>
      </c>
      <c r="I50" s="40" t="s">
        <v>237</v>
      </c>
      <c r="J50" s="32" t="s">
        <v>53</v>
      </c>
      <c r="K50" s="32" t="s">
        <v>103</v>
      </c>
      <c r="L50" s="41" t="str">
        <f>APOIO!$A$2</f>
        <v>EMATER</v>
      </c>
      <c r="M50" s="59">
        <f>APOIO!$B$2</f>
        <v>3262</v>
      </c>
      <c r="N50" s="43">
        <v>24352.76</v>
      </c>
      <c r="O50" s="27" t="str">
        <f>VLOOKUP($P50,APOIO!$D:$E,2,FALSE)</f>
        <v>1.2.3.2.1.01.02.01.00</v>
      </c>
      <c r="P50" s="37" t="s">
        <v>80</v>
      </c>
      <c r="Q50" s="32" t="s">
        <v>59</v>
      </c>
      <c r="R50" s="33"/>
      <c r="S50" s="33"/>
      <c r="T50" s="32" t="s">
        <v>59</v>
      </c>
      <c r="U50" s="33"/>
      <c r="V50" s="33"/>
      <c r="W50" s="33"/>
      <c r="X50" s="61">
        <f t="shared" si="0"/>
        <v>24352.76</v>
      </c>
      <c r="Y50" s="33">
        <f t="shared" si="1"/>
        <v>4870.5519999999997</v>
      </c>
      <c r="Z50" s="44">
        <f t="shared" si="2"/>
        <v>12</v>
      </c>
      <c r="AA50" s="43">
        <f t="shared" si="3"/>
        <v>64.940693333333328</v>
      </c>
      <c r="AB50" s="43">
        <f t="shared" si="4"/>
        <v>779.28831999999989</v>
      </c>
      <c r="AC50" s="43" t="str">
        <f>VLOOKUP($P50,APOIO!$D:$F,3,FALSE)</f>
        <v>1.2.3.8.1.02.01.02.01</v>
      </c>
      <c r="AD50" s="43">
        <f t="shared" si="5"/>
        <v>23573.471679999999</v>
      </c>
    </row>
    <row r="51" spans="1:30" x14ac:dyDescent="0.2">
      <c r="A51" s="32" t="str">
        <f ca="1">IFERROR(__xludf.DUMMYFUNCTION("CONCATENATE(""3."",APOIO!$B$2,""."",TEXT(INDEX(SPLIT(INDEX(A:A,ROW()-1,1),"".""),1,3)+1, ""00000""))"),"3.3262.00050")</f>
        <v>3.3262.00050</v>
      </c>
      <c r="B51" s="32" t="s">
        <v>238</v>
      </c>
      <c r="C51" s="32">
        <v>7968</v>
      </c>
      <c r="D51" s="32" t="s">
        <v>46</v>
      </c>
      <c r="E51" s="37" t="s">
        <v>239</v>
      </c>
      <c r="F51" s="38">
        <v>43322</v>
      </c>
      <c r="G51" s="58">
        <v>26697.11</v>
      </c>
      <c r="H51" s="37" t="s">
        <v>140</v>
      </c>
      <c r="I51" s="40" t="s">
        <v>240</v>
      </c>
      <c r="J51" s="32" t="s">
        <v>53</v>
      </c>
      <c r="K51" s="32" t="s">
        <v>103</v>
      </c>
      <c r="L51" s="41" t="str">
        <f>APOIO!$A$2</f>
        <v>EMATER</v>
      </c>
      <c r="M51" s="59">
        <f>APOIO!$B$2</f>
        <v>3262</v>
      </c>
      <c r="N51" s="43">
        <v>26697.11</v>
      </c>
      <c r="O51" s="27" t="str">
        <f>VLOOKUP($P51,APOIO!$D:$E,2,FALSE)</f>
        <v>1.2.3.2.1.01.02.01.00</v>
      </c>
      <c r="P51" s="37" t="s">
        <v>80</v>
      </c>
      <c r="Q51" s="32" t="s">
        <v>59</v>
      </c>
      <c r="R51" s="33"/>
      <c r="S51" s="33"/>
      <c r="T51" s="32" t="s">
        <v>59</v>
      </c>
      <c r="U51" s="33"/>
      <c r="V51" s="33"/>
      <c r="W51" s="33"/>
      <c r="X51" s="61">
        <f t="shared" si="0"/>
        <v>26697.11</v>
      </c>
      <c r="Y51" s="33">
        <f t="shared" si="1"/>
        <v>5339.4219999999996</v>
      </c>
      <c r="Z51" s="44">
        <f t="shared" si="2"/>
        <v>12</v>
      </c>
      <c r="AA51" s="43">
        <f t="shared" si="3"/>
        <v>71.192293333333339</v>
      </c>
      <c r="AB51" s="43">
        <f t="shared" si="4"/>
        <v>854.30752000000007</v>
      </c>
      <c r="AC51" s="43" t="str">
        <f>VLOOKUP($P51,APOIO!$D:$F,3,FALSE)</f>
        <v>1.2.3.8.1.02.01.02.01</v>
      </c>
      <c r="AD51" s="43">
        <f t="shared" si="5"/>
        <v>25842.802480000002</v>
      </c>
    </row>
    <row r="52" spans="1:30" x14ac:dyDescent="0.2">
      <c r="A52" s="32" t="str">
        <f ca="1">IFERROR(__xludf.DUMMYFUNCTION("CONCATENATE(""3."",APOIO!$B$2,""."",TEXT(INDEX(SPLIT(INDEX(A:A,ROW()-1,1),"".""),1,3)+1, ""00000""))"),"3.3262.00051")</f>
        <v>3.3262.00051</v>
      </c>
      <c r="B52" s="32" t="s">
        <v>241</v>
      </c>
      <c r="C52" s="32">
        <v>1015</v>
      </c>
      <c r="D52" s="32" t="s">
        <v>46</v>
      </c>
      <c r="E52" s="37" t="s">
        <v>128</v>
      </c>
      <c r="F52" s="38">
        <v>43305</v>
      </c>
      <c r="G52" s="58">
        <v>4066.29</v>
      </c>
      <c r="H52" s="37" t="s">
        <v>78</v>
      </c>
      <c r="I52" s="40" t="s">
        <v>242</v>
      </c>
      <c r="J52" s="32" t="s">
        <v>53</v>
      </c>
      <c r="K52" s="32" t="s">
        <v>103</v>
      </c>
      <c r="L52" s="41" t="str">
        <f>APOIO!$A$2</f>
        <v>EMATER</v>
      </c>
      <c r="M52" s="59">
        <f>APOIO!$B$2</f>
        <v>3262</v>
      </c>
      <c r="N52" s="43">
        <v>4066.29</v>
      </c>
      <c r="O52" s="27" t="str">
        <f>VLOOKUP($P52,APOIO!$D:$E,2,FALSE)</f>
        <v>1.2.3.2.1.01.02.01.00</v>
      </c>
      <c r="P52" s="37" t="s">
        <v>80</v>
      </c>
      <c r="Q52" s="32" t="s">
        <v>59</v>
      </c>
      <c r="R52" s="33"/>
      <c r="S52" s="33"/>
      <c r="T52" s="32" t="s">
        <v>59</v>
      </c>
      <c r="U52" s="33"/>
      <c r="V52" s="33"/>
      <c r="W52" s="33"/>
      <c r="X52" s="61">
        <f t="shared" si="0"/>
        <v>4066.29</v>
      </c>
      <c r="Y52" s="33">
        <f t="shared" si="1"/>
        <v>813.25800000000004</v>
      </c>
      <c r="Z52" s="44">
        <f t="shared" si="2"/>
        <v>12</v>
      </c>
      <c r="AA52" s="43">
        <f t="shared" si="3"/>
        <v>10.843440000000001</v>
      </c>
      <c r="AB52" s="43">
        <f t="shared" si="4"/>
        <v>130.12128000000001</v>
      </c>
      <c r="AC52" s="43" t="str">
        <f>VLOOKUP($P52,APOIO!$D:$F,3,FALSE)</f>
        <v>1.2.3.8.1.02.01.02.01</v>
      </c>
      <c r="AD52" s="43">
        <f t="shared" si="5"/>
        <v>3936.1687200000001</v>
      </c>
    </row>
    <row r="53" spans="1:30" x14ac:dyDescent="0.2">
      <c r="A53" s="32" t="str">
        <f ca="1">IFERROR(__xludf.DUMMYFUNCTION("CONCATENATE(""3."",APOIO!$B$2,""."",TEXT(INDEX(SPLIT(INDEX(A:A,ROW()-1,1),"".""),1,3)+1, ""00000""))"),"3.3262.00052")</f>
        <v>3.3262.00052</v>
      </c>
      <c r="B53" s="32" t="s">
        <v>243</v>
      </c>
      <c r="C53" s="32">
        <v>9388</v>
      </c>
      <c r="D53" s="32" t="s">
        <v>46</v>
      </c>
      <c r="E53" s="37" t="s">
        <v>244</v>
      </c>
      <c r="F53" s="38">
        <v>43480</v>
      </c>
      <c r="G53" s="58">
        <v>481081.71</v>
      </c>
      <c r="H53" s="37" t="s">
        <v>140</v>
      </c>
      <c r="I53" s="40" t="s">
        <v>245</v>
      </c>
      <c r="J53" s="32" t="s">
        <v>53</v>
      </c>
      <c r="K53" s="32" t="s">
        <v>103</v>
      </c>
      <c r="L53" s="41" t="str">
        <f>APOIO!$A$2</f>
        <v>EMATER</v>
      </c>
      <c r="M53" s="59">
        <f>APOIO!$B$2</f>
        <v>3262</v>
      </c>
      <c r="N53" s="43">
        <v>481081.71</v>
      </c>
      <c r="O53" s="27" t="str">
        <f>VLOOKUP($P53,APOIO!$D:$E,2,FALSE)</f>
        <v>1.2.3.2.1.01.02.01.00</v>
      </c>
      <c r="P53" s="37" t="s">
        <v>80</v>
      </c>
      <c r="Q53" s="32" t="s">
        <v>59</v>
      </c>
      <c r="R53" s="33"/>
      <c r="S53" s="33"/>
      <c r="T53" s="32" t="s">
        <v>59</v>
      </c>
      <c r="U53" s="33"/>
      <c r="V53" s="33"/>
      <c r="W53" s="33"/>
      <c r="X53" s="61">
        <f t="shared" si="0"/>
        <v>481081.71</v>
      </c>
      <c r="Y53" s="33">
        <f t="shared" si="1"/>
        <v>96216.342000000004</v>
      </c>
      <c r="Z53" s="44">
        <f t="shared" si="2"/>
        <v>12</v>
      </c>
      <c r="AA53" s="43">
        <f t="shared" si="3"/>
        <v>1282.8845600000002</v>
      </c>
      <c r="AB53" s="43">
        <f t="shared" si="4"/>
        <v>15394.614720000001</v>
      </c>
      <c r="AC53" s="43" t="str">
        <f>VLOOKUP($P53,APOIO!$D:$F,3,FALSE)</f>
        <v>1.2.3.8.1.02.01.02.01</v>
      </c>
      <c r="AD53" s="43">
        <f t="shared" si="5"/>
        <v>465687.09528000001</v>
      </c>
    </row>
    <row r="54" spans="1:30" x14ac:dyDescent="0.2">
      <c r="A54" s="32" t="str">
        <f ca="1">IFERROR(__xludf.DUMMYFUNCTION("CONCATENATE(""3."",APOIO!$B$2,""."",TEXT(INDEX(SPLIT(INDEX(A:A,ROW()-1,1),"".""),1,3)+1, ""00000""))"),"3.3262.00053")</f>
        <v>3.3262.00053</v>
      </c>
      <c r="B54" s="32" t="s">
        <v>246</v>
      </c>
      <c r="C54" s="32">
        <v>2059</v>
      </c>
      <c r="D54" s="32" t="s">
        <v>46</v>
      </c>
      <c r="E54" s="37" t="s">
        <v>247</v>
      </c>
      <c r="F54" s="38">
        <v>43297</v>
      </c>
      <c r="G54" s="58">
        <v>9263.19</v>
      </c>
      <c r="H54" s="37" t="s">
        <v>78</v>
      </c>
      <c r="I54" s="40" t="s">
        <v>248</v>
      </c>
      <c r="J54" s="32" t="s">
        <v>53</v>
      </c>
      <c r="K54" s="32" t="s">
        <v>54</v>
      </c>
      <c r="L54" s="41" t="str">
        <f>APOIO!$A$2</f>
        <v>EMATER</v>
      </c>
      <c r="M54" s="59">
        <f>APOIO!$B$2</f>
        <v>3262</v>
      </c>
      <c r="N54" s="43">
        <v>9263.19</v>
      </c>
      <c r="O54" s="27" t="str">
        <f>VLOOKUP($P54,APOIO!$D:$E,2,FALSE)</f>
        <v>1.2.3.2.1.01.02.01.00</v>
      </c>
      <c r="P54" s="37" t="s">
        <v>80</v>
      </c>
      <c r="Q54" s="32" t="s">
        <v>59</v>
      </c>
      <c r="R54" s="33"/>
      <c r="S54" s="33"/>
      <c r="T54" s="32" t="s">
        <v>59</v>
      </c>
      <c r="U54" s="33"/>
      <c r="V54" s="33"/>
      <c r="W54" s="33"/>
      <c r="X54" s="61">
        <f t="shared" si="0"/>
        <v>9263.19</v>
      </c>
      <c r="Y54" s="33">
        <f t="shared" si="1"/>
        <v>1852.6380000000001</v>
      </c>
      <c r="Z54" s="44">
        <f t="shared" si="2"/>
        <v>12</v>
      </c>
      <c r="AA54" s="43">
        <f t="shared" si="3"/>
        <v>24.701840000000004</v>
      </c>
      <c r="AB54" s="43">
        <f t="shared" si="4"/>
        <v>296.42208000000005</v>
      </c>
      <c r="AC54" s="43" t="str">
        <f>VLOOKUP($P54,APOIO!$D:$F,3,FALSE)</f>
        <v>1.2.3.8.1.02.01.02.01</v>
      </c>
      <c r="AD54" s="43">
        <f t="shared" si="5"/>
        <v>8966.7679200000002</v>
      </c>
    </row>
    <row r="55" spans="1:30" x14ac:dyDescent="0.2">
      <c r="A55" s="32" t="str">
        <f ca="1">IFERROR(__xludf.DUMMYFUNCTION("CONCATENATE(""3."",APOIO!$B$2,""."",TEXT(INDEX(SPLIT(INDEX(A:A,ROW()-1,1),"".""),1,3)+1, ""00000""))"),"3.3262.00054")</f>
        <v>3.3262.00054</v>
      </c>
      <c r="B55" s="32" t="s">
        <v>249</v>
      </c>
      <c r="C55" s="32">
        <v>552</v>
      </c>
      <c r="D55" s="32" t="s">
        <v>46</v>
      </c>
      <c r="E55" s="37" t="s">
        <v>250</v>
      </c>
      <c r="F55" s="38">
        <v>44490</v>
      </c>
      <c r="G55" s="58">
        <v>56700</v>
      </c>
      <c r="H55" s="37" t="s">
        <v>78</v>
      </c>
      <c r="I55" s="40" t="s">
        <v>251</v>
      </c>
      <c r="J55" s="32" t="s">
        <v>53</v>
      </c>
      <c r="K55" s="32" t="s">
        <v>103</v>
      </c>
      <c r="L55" s="41" t="str">
        <f>APOIO!$A$2</f>
        <v>EMATER</v>
      </c>
      <c r="M55" s="59">
        <f>APOIO!$B$2</f>
        <v>3262</v>
      </c>
      <c r="N55" s="43">
        <v>80000</v>
      </c>
      <c r="O55" s="27" t="str">
        <f>VLOOKUP($P55,APOIO!$D:$E,2,FALSE)</f>
        <v>1.2.3.2.1.01.02.01.00</v>
      </c>
      <c r="P55" s="37" t="s">
        <v>80</v>
      </c>
      <c r="Q55" s="32" t="s">
        <v>59</v>
      </c>
      <c r="R55" s="33"/>
      <c r="S55" s="33"/>
      <c r="T55" s="32" t="s">
        <v>59</v>
      </c>
      <c r="U55" s="33"/>
      <c r="V55" s="33"/>
      <c r="W55" s="33"/>
      <c r="X55" s="61">
        <f t="shared" si="0"/>
        <v>80000</v>
      </c>
      <c r="Y55" s="33">
        <f t="shared" si="1"/>
        <v>16000</v>
      </c>
      <c r="Z55" s="44">
        <f t="shared" si="2"/>
        <v>12</v>
      </c>
      <c r="AA55" s="43">
        <f t="shared" si="3"/>
        <v>213.33333333333334</v>
      </c>
      <c r="AB55" s="43">
        <f t="shared" si="4"/>
        <v>2560</v>
      </c>
      <c r="AC55" s="43" t="str">
        <f>VLOOKUP($P55,APOIO!$D:$F,3,FALSE)</f>
        <v>1.2.3.8.1.02.01.02.01</v>
      </c>
      <c r="AD55" s="43">
        <f t="shared" si="5"/>
        <v>77440</v>
      </c>
    </row>
    <row r="56" spans="1:30" x14ac:dyDescent="0.2">
      <c r="A56" s="32" t="str">
        <f ca="1">IFERROR(__xludf.DUMMYFUNCTION("CONCATENATE(""3."",APOIO!$B$2,""."",TEXT(INDEX(SPLIT(INDEX(A:A,ROW()-1,1),"".""),1,3)+1, ""00000""))"),"3.3262.00055")</f>
        <v>3.3262.00055</v>
      </c>
      <c r="B56" s="32" t="s">
        <v>252</v>
      </c>
      <c r="C56" s="32">
        <v>7264</v>
      </c>
      <c r="D56" s="32" t="s">
        <v>46</v>
      </c>
      <c r="E56" s="37" t="s">
        <v>253</v>
      </c>
      <c r="F56" s="38">
        <v>43361</v>
      </c>
      <c r="G56" s="58">
        <v>117343.59</v>
      </c>
      <c r="H56" s="37" t="s">
        <v>78</v>
      </c>
      <c r="I56" s="40" t="s">
        <v>254</v>
      </c>
      <c r="J56" s="32" t="s">
        <v>53</v>
      </c>
      <c r="K56" s="32" t="s">
        <v>54</v>
      </c>
      <c r="L56" s="41" t="str">
        <f>APOIO!$A$2</f>
        <v>EMATER</v>
      </c>
      <c r="M56" s="59">
        <f>APOIO!$B$2</f>
        <v>3262</v>
      </c>
      <c r="N56" s="43">
        <v>117343.59</v>
      </c>
      <c r="O56" s="27" t="str">
        <f>VLOOKUP($P56,APOIO!$D:$E,2,FALSE)</f>
        <v>1.2.3.2.1.01.02.01.00</v>
      </c>
      <c r="P56" s="37" t="s">
        <v>80</v>
      </c>
      <c r="Q56" s="32" t="s">
        <v>59</v>
      </c>
      <c r="R56" s="33"/>
      <c r="S56" s="33"/>
      <c r="T56" s="32" t="s">
        <v>59</v>
      </c>
      <c r="U56" s="33"/>
      <c r="V56" s="33"/>
      <c r="W56" s="33"/>
      <c r="X56" s="61">
        <f t="shared" si="0"/>
        <v>117343.59</v>
      </c>
      <c r="Y56" s="33">
        <f t="shared" si="1"/>
        <v>23468.717999999997</v>
      </c>
      <c r="Z56" s="44">
        <f t="shared" si="2"/>
        <v>12</v>
      </c>
      <c r="AA56" s="43">
        <f t="shared" si="3"/>
        <v>312.91624000000002</v>
      </c>
      <c r="AB56" s="43">
        <f t="shared" si="4"/>
        <v>3754.9948800000002</v>
      </c>
      <c r="AC56" s="43" t="str">
        <f>VLOOKUP($P56,APOIO!$D:$F,3,FALSE)</f>
        <v>1.2.3.8.1.02.01.02.01</v>
      </c>
      <c r="AD56" s="43">
        <f t="shared" si="5"/>
        <v>113588.59512</v>
      </c>
    </row>
    <row r="57" spans="1:30" x14ac:dyDescent="0.2">
      <c r="A57" s="32" t="str">
        <f ca="1">IFERROR(__xludf.DUMMYFUNCTION("CONCATENATE(""3."",APOIO!$B$2,""."",TEXT(INDEX(SPLIT(INDEX(A:A,ROW()-1,1),"".""),1,3)+1, ""00000""))"),"3.3262.00056")</f>
        <v>3.3262.00056</v>
      </c>
      <c r="B57" s="32" t="s">
        <v>255</v>
      </c>
      <c r="C57" s="32">
        <v>2736</v>
      </c>
      <c r="D57" s="32" t="s">
        <v>46</v>
      </c>
      <c r="E57" s="37" t="s">
        <v>256</v>
      </c>
      <c r="F57" s="39">
        <v>43255</v>
      </c>
      <c r="G57" s="58">
        <v>196103.33</v>
      </c>
      <c r="H57" s="37" t="s">
        <v>78</v>
      </c>
      <c r="I57" s="40" t="s">
        <v>257</v>
      </c>
      <c r="J57" s="32" t="s">
        <v>53</v>
      </c>
      <c r="K57" s="32" t="s">
        <v>103</v>
      </c>
      <c r="L57" s="41" t="str">
        <f>APOIO!$A$2</f>
        <v>EMATER</v>
      </c>
      <c r="M57" s="59">
        <f>APOIO!$B$2</f>
        <v>3262</v>
      </c>
      <c r="N57" s="43">
        <v>196103.03</v>
      </c>
      <c r="O57" s="27" t="str">
        <f>VLOOKUP($P57,APOIO!$D:$E,2,FALSE)</f>
        <v>1.2.3.2.1.01.02.01.00</v>
      </c>
      <c r="P57" s="37" t="s">
        <v>80</v>
      </c>
      <c r="Q57" s="32" t="s">
        <v>59</v>
      </c>
      <c r="R57" s="33"/>
      <c r="S57" s="33"/>
      <c r="T57" s="32" t="s">
        <v>59</v>
      </c>
      <c r="U57" s="33"/>
      <c r="V57" s="33"/>
      <c r="W57" s="33"/>
      <c r="X57" s="61">
        <f t="shared" si="0"/>
        <v>196103.03</v>
      </c>
      <c r="Y57" s="33">
        <f t="shared" si="1"/>
        <v>39220.606</v>
      </c>
      <c r="Z57" s="44">
        <f t="shared" si="2"/>
        <v>12</v>
      </c>
      <c r="AA57" s="43">
        <f t="shared" si="3"/>
        <v>522.94141333333334</v>
      </c>
      <c r="AB57" s="43">
        <f t="shared" si="4"/>
        <v>6275.2969599999997</v>
      </c>
      <c r="AC57" s="43" t="str">
        <f>VLOOKUP($P57,APOIO!$D:$F,3,FALSE)</f>
        <v>1.2.3.8.1.02.01.02.01</v>
      </c>
      <c r="AD57" s="43">
        <f t="shared" si="5"/>
        <v>189827.73303999999</v>
      </c>
    </row>
    <row r="58" spans="1:30" x14ac:dyDescent="0.2">
      <c r="A58" s="32" t="str">
        <f ca="1">IFERROR(__xludf.DUMMYFUNCTION("CONCATENATE(""3."",APOIO!$B$2,""."",TEXT(INDEX(SPLIT(INDEX(A:A,ROW()-1,1),"".""),1,3)+1, ""00000""))"),"3.3262.00057")</f>
        <v>3.3262.00057</v>
      </c>
      <c r="B58" s="32" t="s">
        <v>258</v>
      </c>
      <c r="C58" s="32">
        <v>32210</v>
      </c>
      <c r="D58" s="32" t="s">
        <v>46</v>
      </c>
      <c r="E58" s="37" t="s">
        <v>122</v>
      </c>
      <c r="F58" s="38">
        <v>43495</v>
      </c>
      <c r="G58" s="58">
        <v>72314.37</v>
      </c>
      <c r="H58" s="37" t="s">
        <v>78</v>
      </c>
      <c r="I58" s="40" t="s">
        <v>259</v>
      </c>
      <c r="J58" s="32" t="s">
        <v>53</v>
      </c>
      <c r="K58" s="32" t="s">
        <v>103</v>
      </c>
      <c r="L58" s="41" t="str">
        <f>APOIO!$A$2</f>
        <v>EMATER</v>
      </c>
      <c r="M58" s="59">
        <f>APOIO!$B$2</f>
        <v>3262</v>
      </c>
      <c r="N58" s="43">
        <v>72314.37</v>
      </c>
      <c r="O58" s="27" t="str">
        <f>VLOOKUP($P58,APOIO!$D:$E,2,FALSE)</f>
        <v>1.2.3.2.1.01.02.01.00</v>
      </c>
      <c r="P58" s="37" t="s">
        <v>80</v>
      </c>
      <c r="Q58" s="32" t="s">
        <v>59</v>
      </c>
      <c r="R58" s="33"/>
      <c r="S58" s="33"/>
      <c r="T58" s="32" t="s">
        <v>59</v>
      </c>
      <c r="U58" s="33"/>
      <c r="V58" s="33"/>
      <c r="W58" s="33"/>
      <c r="X58" s="61">
        <f t="shared" si="0"/>
        <v>72314.37</v>
      </c>
      <c r="Y58" s="33">
        <f t="shared" si="1"/>
        <v>14462.874</v>
      </c>
      <c r="Z58" s="44">
        <f t="shared" si="2"/>
        <v>12</v>
      </c>
      <c r="AA58" s="43">
        <f t="shared" si="3"/>
        <v>192.83831999999998</v>
      </c>
      <c r="AB58" s="43">
        <f t="shared" si="4"/>
        <v>2314.0598399999999</v>
      </c>
      <c r="AC58" s="43" t="str">
        <f>VLOOKUP($P58,APOIO!$D:$F,3,FALSE)</f>
        <v>1.2.3.8.1.02.01.02.01</v>
      </c>
      <c r="AD58" s="43">
        <f t="shared" si="5"/>
        <v>70000.310159999994</v>
      </c>
    </row>
    <row r="59" spans="1:30" x14ac:dyDescent="0.2">
      <c r="A59" s="32" t="str">
        <f ca="1">IFERROR(__xludf.DUMMYFUNCTION("CONCATENATE(""3."",APOIO!$B$2,""."",TEXT(INDEX(SPLIT(INDEX(A:A,ROW()-1,1),"".""),1,3)+1, ""00000""))"),"3.3262.00058")</f>
        <v>3.3262.00058</v>
      </c>
      <c r="B59" s="32" t="s">
        <v>260</v>
      </c>
      <c r="C59" s="32">
        <v>1554</v>
      </c>
      <c r="D59" s="32" t="s">
        <v>46</v>
      </c>
      <c r="E59" s="37" t="s">
        <v>261</v>
      </c>
      <c r="F59" s="38">
        <v>43432</v>
      </c>
      <c r="G59" s="58">
        <v>80000</v>
      </c>
      <c r="H59" s="37" t="s">
        <v>78</v>
      </c>
      <c r="I59" s="40" t="s">
        <v>262</v>
      </c>
      <c r="J59" s="32" t="s">
        <v>53</v>
      </c>
      <c r="K59" s="32" t="s">
        <v>103</v>
      </c>
      <c r="L59" s="41" t="str">
        <f>APOIO!$A$2</f>
        <v>EMATER</v>
      </c>
      <c r="M59" s="59">
        <f>APOIO!$B$2</f>
        <v>3262</v>
      </c>
      <c r="N59" s="43">
        <v>80000</v>
      </c>
      <c r="O59" s="27" t="str">
        <f>VLOOKUP($P59,APOIO!$D:$E,2,FALSE)</f>
        <v>1.2.3.2.1.01.02.01.00</v>
      </c>
      <c r="P59" s="37" t="s">
        <v>80</v>
      </c>
      <c r="Q59" s="32" t="s">
        <v>59</v>
      </c>
      <c r="R59" s="33"/>
      <c r="S59" s="33"/>
      <c r="T59" s="32" t="s">
        <v>59</v>
      </c>
      <c r="U59" s="33"/>
      <c r="V59" s="33"/>
      <c r="W59" s="33"/>
      <c r="X59" s="61">
        <f t="shared" si="0"/>
        <v>80000</v>
      </c>
      <c r="Y59" s="33">
        <f t="shared" si="1"/>
        <v>16000</v>
      </c>
      <c r="Z59" s="44">
        <f t="shared" si="2"/>
        <v>12</v>
      </c>
      <c r="AA59" s="43">
        <f t="shared" si="3"/>
        <v>213.33333333333334</v>
      </c>
      <c r="AB59" s="43">
        <f t="shared" si="4"/>
        <v>2560</v>
      </c>
      <c r="AC59" s="43" t="str">
        <f>VLOOKUP($P59,APOIO!$D:$F,3,FALSE)</f>
        <v>1.2.3.8.1.02.01.02.01</v>
      </c>
      <c r="AD59" s="43">
        <f t="shared" si="5"/>
        <v>77440</v>
      </c>
    </row>
    <row r="60" spans="1:30" x14ac:dyDescent="0.2">
      <c r="A60" s="32" t="str">
        <f ca="1">IFERROR(__xludf.DUMMYFUNCTION("CONCATENATE(""3."",APOIO!$B$2,""."",TEXT(INDEX(SPLIT(INDEX(A:A,ROW()-1,1),"".""),1,3)+1, ""00000""))"),"3.3262.00059")</f>
        <v>3.3262.00059</v>
      </c>
      <c r="B60" s="32" t="s">
        <v>263</v>
      </c>
      <c r="C60" s="32">
        <v>6571</v>
      </c>
      <c r="D60" s="32" t="s">
        <v>46</v>
      </c>
      <c r="E60" s="37" t="s">
        <v>264</v>
      </c>
      <c r="F60" s="38">
        <v>43259</v>
      </c>
      <c r="G60" s="58">
        <v>142064.9</v>
      </c>
      <c r="H60" s="37" t="s">
        <v>140</v>
      </c>
      <c r="I60" s="40" t="s">
        <v>265</v>
      </c>
      <c r="J60" s="32" t="s">
        <v>53</v>
      </c>
      <c r="K60" s="32" t="s">
        <v>103</v>
      </c>
      <c r="L60" s="41" t="str">
        <f>APOIO!$A$2</f>
        <v>EMATER</v>
      </c>
      <c r="M60" s="59">
        <f>APOIO!$B$2</f>
        <v>3262</v>
      </c>
      <c r="N60" s="43">
        <v>142064.9</v>
      </c>
      <c r="O60" s="27" t="str">
        <f>VLOOKUP($P60,APOIO!$D:$E,2,FALSE)</f>
        <v>1.2.3.2.1.01.02.01.00</v>
      </c>
      <c r="P60" s="37" t="s">
        <v>80</v>
      </c>
      <c r="Q60" s="32" t="s">
        <v>59</v>
      </c>
      <c r="R60" s="33"/>
      <c r="S60" s="33"/>
      <c r="T60" s="32" t="s">
        <v>59</v>
      </c>
      <c r="U60" s="33"/>
      <c r="V60" s="33"/>
      <c r="W60" s="33"/>
      <c r="X60" s="61">
        <f t="shared" si="0"/>
        <v>142064.9</v>
      </c>
      <c r="Y60" s="33">
        <f t="shared" si="1"/>
        <v>28412.98</v>
      </c>
      <c r="Z60" s="44">
        <f t="shared" si="2"/>
        <v>12</v>
      </c>
      <c r="AA60" s="43">
        <f t="shared" si="3"/>
        <v>378.8397333333333</v>
      </c>
      <c r="AB60" s="43">
        <f t="shared" si="4"/>
        <v>4546.0767999999998</v>
      </c>
      <c r="AC60" s="43" t="str">
        <f>VLOOKUP($P60,APOIO!$D:$F,3,FALSE)</f>
        <v>1.2.3.8.1.02.01.02.01</v>
      </c>
      <c r="AD60" s="43">
        <f t="shared" si="5"/>
        <v>137518.82319999998</v>
      </c>
    </row>
    <row r="61" spans="1:30" x14ac:dyDescent="0.2">
      <c r="A61" s="32" t="str">
        <f ca="1">IFERROR(__xludf.DUMMYFUNCTION("CONCATENATE(""3."",APOIO!$B$2,""."",TEXT(INDEX(SPLIT(INDEX(A:A,ROW()-1,1),"".""),1,3)+1, ""00000""))"),"3.3262.00060")</f>
        <v>3.3262.00060</v>
      </c>
      <c r="B61" s="32" t="s">
        <v>266</v>
      </c>
      <c r="C61" s="32">
        <v>947</v>
      </c>
      <c r="D61" s="32" t="s">
        <v>46</v>
      </c>
      <c r="E61" s="37" t="s">
        <v>267</v>
      </c>
      <c r="F61" s="38">
        <v>43238</v>
      </c>
      <c r="G61" s="58">
        <v>60000</v>
      </c>
      <c r="H61" s="37" t="s">
        <v>78</v>
      </c>
      <c r="I61" s="40" t="s">
        <v>268</v>
      </c>
      <c r="J61" s="32" t="s">
        <v>53</v>
      </c>
      <c r="K61" s="32" t="s">
        <v>103</v>
      </c>
      <c r="L61" s="41" t="str">
        <f>APOIO!$A$2</f>
        <v>EMATER</v>
      </c>
      <c r="M61" s="59">
        <f>APOIO!$B$2</f>
        <v>3262</v>
      </c>
      <c r="N61" s="43">
        <v>60000</v>
      </c>
      <c r="O61" s="27" t="str">
        <f>VLOOKUP($P61,APOIO!$D:$E,2,FALSE)</f>
        <v>1.2.3.2.1.01.02.01.00</v>
      </c>
      <c r="P61" s="37" t="s">
        <v>80</v>
      </c>
      <c r="Q61" s="32" t="s">
        <v>59</v>
      </c>
      <c r="R61" s="33"/>
      <c r="S61" s="33"/>
      <c r="T61" s="32" t="s">
        <v>59</v>
      </c>
      <c r="U61" s="33"/>
      <c r="V61" s="33"/>
      <c r="W61" s="33"/>
      <c r="X61" s="61">
        <f t="shared" si="0"/>
        <v>60000</v>
      </c>
      <c r="Y61" s="33">
        <f t="shared" si="1"/>
        <v>12000</v>
      </c>
      <c r="Z61" s="44">
        <f t="shared" si="2"/>
        <v>12</v>
      </c>
      <c r="AA61" s="43">
        <f t="shared" si="3"/>
        <v>160</v>
      </c>
      <c r="AB61" s="43">
        <f t="shared" si="4"/>
        <v>1920</v>
      </c>
      <c r="AC61" s="43" t="str">
        <f>VLOOKUP($P61,APOIO!$D:$F,3,FALSE)</f>
        <v>1.2.3.8.1.02.01.02.01</v>
      </c>
      <c r="AD61" s="43">
        <f t="shared" si="5"/>
        <v>58080</v>
      </c>
    </row>
  </sheetData>
  <autoFilter ref="A1:AD61" xr:uid="{00000000-0009-0000-0000-000002000000}"/>
  <customSheetViews>
    <customSheetView guid="{D7E55EF0-E3DF-4F38-9DA7-A8DD2471767F}" filter="1" showAutoFilter="1">
      <pageMargins left="0.511811024" right="0.511811024" top="0.78740157499999996" bottom="0.78740157499999996" header="0.31496062000000002" footer="0.31496062000000002"/>
      <autoFilter ref="A1:AD55" xr:uid="{06882F6D-8FEC-4885-8954-2DD93B1DB428}"/>
    </customSheetView>
  </customSheetViews>
  <dataValidations count="1">
    <dataValidation type="decimal" operator="greaterThanOrEqual" allowBlank="1" showDropDown="1" showErrorMessage="1" sqref="N2:N61 R2:S61 U2:W61" xr:uid="{00000000-0002-0000-0200-000006000000}">
      <formula1>0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200-000000000000}">
          <x14:formula1>
            <xm:f>APOIO!$L$2:$L$7</xm:f>
          </x14:formula1>
          <xm:sqref>K2:K61</xm:sqref>
        </x14:dataValidation>
        <x14:dataValidation type="list" allowBlank="1" showErrorMessage="1" xr:uid="{00000000-0002-0000-0200-000001000000}">
          <x14:formula1>
            <xm:f>APOIO!$D$2:$D$71</xm:f>
          </x14:formula1>
          <xm:sqref>P2:P61</xm:sqref>
        </x14:dataValidation>
        <x14:dataValidation type="list" allowBlank="1" xr:uid="{00000000-0002-0000-0200-000002000000}">
          <x14:formula1>
            <xm:f>APOIO!$J$2:$J$6</xm:f>
          </x14:formula1>
          <xm:sqref>D2:D61</xm:sqref>
        </x14:dataValidation>
        <x14:dataValidation type="list" allowBlank="1" xr:uid="{00000000-0002-0000-0200-000003000000}">
          <x14:formula1>
            <xm:f>APOIO!$K$2:$K$3</xm:f>
          </x14:formula1>
          <xm:sqref>J2:J61</xm:sqref>
        </x14:dataValidation>
        <x14:dataValidation type="list" allowBlank="1" showErrorMessage="1" xr:uid="{00000000-0002-0000-0200-000004000000}">
          <x14:formula1>
            <xm:f>APOIO!$G$2:$G$3</xm:f>
          </x14:formula1>
          <xm:sqref>Q2:Q61 T2:T61</xm:sqref>
        </x14:dataValidation>
        <x14:dataValidation type="list" allowBlank="1" xr:uid="{00000000-0002-0000-0200-000005000000}">
          <x14:formula1>
            <xm:f>APOIO!$I$2:$I$252</xm:f>
          </x14:formula1>
          <xm:sqref>B2:B61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3"/>
  <sheetViews>
    <sheetView tabSelected="1" workbookViewId="0">
      <pane ySplit="1" topLeftCell="A2" activePane="bottomLeft" state="frozen"/>
      <selection pane="bottomLeft" activeCell="C26" sqref="C26"/>
    </sheetView>
  </sheetViews>
  <sheetFormatPr defaultColWidth="12.5703125" defaultRowHeight="15.75" customHeight="1" x14ac:dyDescent="0.2"/>
  <cols>
    <col min="1" max="1" width="13.5703125" customWidth="1"/>
    <col min="2" max="2" width="14" customWidth="1"/>
    <col min="4" max="4" width="8.7109375" customWidth="1"/>
    <col min="6" max="6" width="13.42578125" customWidth="1"/>
    <col min="8" max="8" width="10.5703125" customWidth="1"/>
    <col min="9" max="9" width="16.140625" customWidth="1"/>
    <col min="10" max="10" width="13.5703125" customWidth="1"/>
    <col min="11" max="11" width="14.85546875" customWidth="1"/>
    <col min="12" max="12" width="18.5703125" customWidth="1"/>
    <col min="13" max="13" width="14.7109375" customWidth="1"/>
    <col min="14" max="14" width="24.85546875" customWidth="1"/>
    <col min="15" max="15" width="26" customWidth="1"/>
    <col min="17" max="17" width="13.85546875" customWidth="1"/>
    <col min="18" max="18" width="15.5703125" customWidth="1"/>
    <col min="19" max="19" width="15.28515625" customWidth="1"/>
    <col min="21" max="21" width="24.42578125" customWidth="1"/>
    <col min="22" max="22" width="25.5703125" customWidth="1"/>
  </cols>
  <sheetData>
    <row r="1" spans="1:23" x14ac:dyDescent="0.2">
      <c r="A1" s="8" t="s">
        <v>60</v>
      </c>
      <c r="B1" s="13" t="s">
        <v>1</v>
      </c>
      <c r="C1" s="13" t="s">
        <v>2</v>
      </c>
      <c r="D1" s="13" t="s">
        <v>3</v>
      </c>
      <c r="E1" s="13" t="s">
        <v>61</v>
      </c>
      <c r="F1" s="56" t="s">
        <v>6</v>
      </c>
      <c r="G1" s="57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66</v>
      </c>
      <c r="O1" s="13" t="s">
        <v>67</v>
      </c>
      <c r="P1" s="13" t="s">
        <v>68</v>
      </c>
      <c r="Q1" s="13" t="s">
        <v>18</v>
      </c>
      <c r="R1" s="8" t="s">
        <v>24</v>
      </c>
      <c r="S1" s="8" t="s">
        <v>25</v>
      </c>
      <c r="T1" s="13" t="s">
        <v>90</v>
      </c>
      <c r="U1" s="11" t="s">
        <v>27</v>
      </c>
      <c r="V1" s="13" t="s">
        <v>28</v>
      </c>
      <c r="W1" s="13" t="s">
        <v>269</v>
      </c>
    </row>
    <row r="2" spans="1:23" x14ac:dyDescent="0.2">
      <c r="A2" s="32" t="str">
        <f>CONCATENATE("4.",APOIO!$B$2,".","00001")</f>
        <v>4.3262.00001</v>
      </c>
      <c r="B2" s="32" t="s">
        <v>206</v>
      </c>
      <c r="C2" s="32">
        <v>2156</v>
      </c>
      <c r="D2" s="32" t="s">
        <v>46</v>
      </c>
      <c r="E2" s="37" t="s">
        <v>270</v>
      </c>
      <c r="F2" s="38">
        <v>43245</v>
      </c>
      <c r="G2" s="58">
        <v>98432.68</v>
      </c>
      <c r="H2" s="62">
        <v>44421</v>
      </c>
      <c r="I2" s="62">
        <v>46246</v>
      </c>
      <c r="J2" s="37" t="s">
        <v>271</v>
      </c>
      <c r="K2" s="63">
        <v>44348</v>
      </c>
      <c r="L2" s="37" t="s">
        <v>272</v>
      </c>
      <c r="M2" s="37">
        <v>202119222000992</v>
      </c>
      <c r="N2" s="37" t="s">
        <v>273</v>
      </c>
      <c r="O2" s="40" t="s">
        <v>274</v>
      </c>
      <c r="P2" s="32" t="s">
        <v>53</v>
      </c>
      <c r="Q2" s="32" t="s">
        <v>54</v>
      </c>
      <c r="R2" s="41" t="str">
        <f>APOIO!$A$2</f>
        <v>EMATER</v>
      </c>
      <c r="S2" s="59">
        <f>APOIO!$B$2</f>
        <v>3262</v>
      </c>
      <c r="T2" s="43">
        <v>98432.68</v>
      </c>
      <c r="U2" s="27" t="str">
        <f>VLOOKUP($V2,APOIO!$D:$E,2,FALSE)</f>
        <v>1.2.3.2.1.01.02.01.00</v>
      </c>
      <c r="V2" s="37" t="s">
        <v>80</v>
      </c>
      <c r="W2" s="33">
        <f t="shared" ref="W2:W3" si="0">T2</f>
        <v>98432.68</v>
      </c>
    </row>
    <row r="3" spans="1:23" x14ac:dyDescent="0.2">
      <c r="A3" s="32" t="str">
        <f>CONCATENATE("4.",APOIO!$B$2,".","00001")</f>
        <v>4.3262.00001</v>
      </c>
      <c r="B3" s="32" t="s">
        <v>206</v>
      </c>
      <c r="C3" s="32">
        <v>2157</v>
      </c>
      <c r="D3" s="32" t="s">
        <v>46</v>
      </c>
      <c r="E3" s="37" t="s">
        <v>270</v>
      </c>
      <c r="F3" s="38">
        <v>43245</v>
      </c>
      <c r="G3" s="58">
        <v>9039.77</v>
      </c>
      <c r="H3" s="62">
        <v>44421</v>
      </c>
      <c r="I3" s="62">
        <v>46246</v>
      </c>
      <c r="J3" s="37" t="s">
        <v>271</v>
      </c>
      <c r="K3" s="63">
        <v>44348</v>
      </c>
      <c r="L3" s="37" t="s">
        <v>272</v>
      </c>
      <c r="M3" s="37">
        <v>202119222000992</v>
      </c>
      <c r="N3" s="37" t="s">
        <v>93</v>
      </c>
      <c r="O3" s="40" t="s">
        <v>275</v>
      </c>
      <c r="P3" s="32" t="s">
        <v>53</v>
      </c>
      <c r="Q3" s="32" t="s">
        <v>95</v>
      </c>
      <c r="R3" s="41" t="str">
        <f>APOIO!$A$2</f>
        <v>EMATER</v>
      </c>
      <c r="S3" s="59">
        <f>APOIO!$B$2</f>
        <v>3262</v>
      </c>
      <c r="T3" s="43">
        <v>9039.77</v>
      </c>
      <c r="U3" s="27" t="str">
        <f>VLOOKUP($V3,APOIO!$D:$E,2,FALSE)</f>
        <v>1.2.3.2.1.01.04.01.00</v>
      </c>
      <c r="V3" s="37" t="s">
        <v>96</v>
      </c>
      <c r="W3" s="33">
        <f t="shared" si="0"/>
        <v>9039.77</v>
      </c>
    </row>
  </sheetData>
  <autoFilter ref="A1:W3" xr:uid="{00000000-0009-0000-0000-000003000000}"/>
  <dataValidations count="1">
    <dataValidation type="decimal" operator="greaterThanOrEqual" allowBlank="1" showDropDown="1" showErrorMessage="1" sqref="T2:T3" xr:uid="{00000000-0002-0000-0300-000005000000}">
      <formula1>0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300-000000000000}">
          <x14:formula1>
            <xm:f>APOIO!$L$2:$L$7</xm:f>
          </x14:formula1>
          <xm:sqref>Q2:Q3</xm:sqref>
        </x14:dataValidation>
        <x14:dataValidation type="list" allowBlank="1" showErrorMessage="1" xr:uid="{00000000-0002-0000-0300-000001000000}">
          <x14:formula1>
            <xm:f>APOIO!$D$2:$D$71</xm:f>
          </x14:formula1>
          <xm:sqref>V2:V3</xm:sqref>
        </x14:dataValidation>
        <x14:dataValidation type="list" allowBlank="1" xr:uid="{00000000-0002-0000-0300-000002000000}">
          <x14:formula1>
            <xm:f>APOIO!$J$2:$J$6</xm:f>
          </x14:formula1>
          <xm:sqref>D2:D3</xm:sqref>
        </x14:dataValidation>
        <x14:dataValidation type="list" allowBlank="1" xr:uid="{00000000-0002-0000-0300-000003000000}">
          <x14:formula1>
            <xm:f>APOIO!$K$2:$K$3</xm:f>
          </x14:formula1>
          <xm:sqref>P2:P3</xm:sqref>
        </x14:dataValidation>
        <x14:dataValidation type="list" allowBlank="1" xr:uid="{00000000-0002-0000-0300-000004000000}">
          <x14:formula1>
            <xm:f>APOIO!$I$2:$I$252</xm:f>
          </x14:formula1>
          <xm:sqref>B2:B3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4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1.5703125" customWidth="1"/>
    <col min="2" max="2" width="13.5703125" customWidth="1"/>
    <col min="3" max="3" width="16.7109375" customWidth="1"/>
    <col min="4" max="4" width="50.7109375" customWidth="1"/>
    <col min="5" max="5" width="15.5703125" customWidth="1"/>
    <col min="6" max="6" width="15.140625" customWidth="1"/>
  </cols>
  <sheetData>
    <row r="1" spans="1:6" x14ac:dyDescent="0.2">
      <c r="A1" s="8" t="s">
        <v>24</v>
      </c>
      <c r="B1" s="8" t="s">
        <v>25</v>
      </c>
      <c r="C1" s="11" t="s">
        <v>27</v>
      </c>
      <c r="D1" s="11" t="s">
        <v>28</v>
      </c>
      <c r="E1" s="11" t="s">
        <v>276</v>
      </c>
      <c r="F1" s="13" t="s">
        <v>277</v>
      </c>
    </row>
    <row r="2" spans="1:6" x14ac:dyDescent="0.2">
      <c r="A2" s="64" t="str">
        <f>APOIO!$A$2</f>
        <v>EMATER</v>
      </c>
      <c r="B2" s="64">
        <f>APOIO!$B$2</f>
        <v>3262</v>
      </c>
      <c r="C2" s="65" t="s">
        <v>278</v>
      </c>
      <c r="D2" s="65" t="s">
        <v>279</v>
      </c>
      <c r="E2" s="66">
        <v>0</v>
      </c>
      <c r="F2" s="67"/>
    </row>
    <row r="3" spans="1:6" x14ac:dyDescent="0.2">
      <c r="A3" s="64" t="str">
        <f>APOIO!$A$2</f>
        <v>EMATER</v>
      </c>
      <c r="B3" s="64">
        <f>APOIO!$B$2</f>
        <v>3262</v>
      </c>
      <c r="C3" s="65" t="s">
        <v>280</v>
      </c>
      <c r="D3" s="65" t="s">
        <v>281</v>
      </c>
      <c r="E3" s="66">
        <v>0</v>
      </c>
      <c r="F3" s="67"/>
    </row>
    <row r="4" spans="1:6" x14ac:dyDescent="0.2">
      <c r="A4" s="68" t="str">
        <f>APOIO!$A$2</f>
        <v>EMATER</v>
      </c>
      <c r="B4" s="69">
        <f>APOIO!$B$2</f>
        <v>3262</v>
      </c>
      <c r="C4" s="70" t="s">
        <v>282</v>
      </c>
      <c r="D4" s="71" t="s">
        <v>283</v>
      </c>
      <c r="E4" s="72">
        <v>26237374.550000001</v>
      </c>
      <c r="F4" s="67"/>
    </row>
  </sheetData>
  <conditionalFormatting sqref="A2:B4 C2:D2 E2:F4">
    <cfRule type="expression" dxfId="1" priority="1">
      <formula>#REF!="Verdadeiro"</formula>
    </cfRule>
  </conditionalFormatting>
  <dataValidations count="1">
    <dataValidation type="decimal" operator="greaterThanOrEqual" allowBlank="1" showDropDown="1" showErrorMessage="1" sqref="E2:E4" xr:uid="{00000000-0002-0000-0400-000000000000}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155CC"/>
    <outlinePr summaryBelow="0" summaryRight="0"/>
  </sheetPr>
  <dimension ref="A1:I8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8" customWidth="1"/>
    <col min="2" max="2" width="40.42578125" customWidth="1"/>
    <col min="3" max="3" width="11.42578125" customWidth="1"/>
    <col min="4" max="4" width="13.140625" customWidth="1"/>
    <col min="5" max="5" width="15.28515625" customWidth="1"/>
    <col min="6" max="6" width="15.5703125" customWidth="1"/>
    <col min="7" max="7" width="17.42578125" customWidth="1"/>
    <col min="8" max="8" width="14.85546875" customWidth="1"/>
    <col min="9" max="9" width="15.28515625" customWidth="1"/>
  </cols>
  <sheetData>
    <row r="1" spans="1:9" x14ac:dyDescent="0.2">
      <c r="A1" s="16" t="s">
        <v>284</v>
      </c>
      <c r="B1" s="16" t="s">
        <v>285</v>
      </c>
      <c r="C1" s="16" t="s">
        <v>286</v>
      </c>
      <c r="D1" s="10" t="s">
        <v>287</v>
      </c>
      <c r="E1" s="73" t="s">
        <v>288</v>
      </c>
      <c r="F1" s="10" t="s">
        <v>289</v>
      </c>
      <c r="G1" s="74" t="s">
        <v>290</v>
      </c>
      <c r="H1" s="74" t="s">
        <v>291</v>
      </c>
      <c r="I1" s="10" t="s">
        <v>292</v>
      </c>
    </row>
    <row r="2" spans="1:9" x14ac:dyDescent="0.2">
      <c r="A2" s="64" t="str">
        <f ca="1">IFERROR(__xludf.DUMMYFUNCTION("UNIQUE(FLATTEN(
QUERY('Analítica - Imóveis Estaduais'!AB:AB, ""SELECT AB WHERE AB LIKE '%.%'""),
QUERY('Analítica - Imóveis recebidos e'!T:T, ""SELECT T WHERE T LIKE '%.%'""),
QUERY('Analítica - Imóveis Próprios'!O:O, ""SELECT O WHERE O LIKE '%.%'""),
QUE"&amp;"RY('Obras em Andamento'!C:C, ""SELECT C WHERE C LIKE '%.%'""),
QUERY('Sintética 2022'!C:C, ""SELECT C WHERE C LIKE '%.%'"")
))"),"1.2.3.2.1.01.98.10.00")</f>
        <v>1.2.3.2.1.01.98.10.00</v>
      </c>
      <c r="B2" s="64" t="str">
        <f ca="1">IFERROR(__xludf.DUMMYFUNCTION("QUERY(APOIO!D:E, ""SELECT D WHERE E = '""&amp;A2&amp;""'"")"),"OUTROS BENS IMÓVEIS - USO ESPECIAL")</f>
        <v>OUTROS BENS IMÓVEIS - USO ESPECIAL</v>
      </c>
      <c r="C2" s="64">
        <f>APOIO!$B$2</f>
        <v>3262</v>
      </c>
      <c r="D2" s="64" t="str">
        <f>APOIO!$A$2</f>
        <v>EMATER</v>
      </c>
      <c r="E2" s="75">
        <f ca="1">IFERROR(__xludf.DUMMYFUNCTION("SUM(
QUERY('Sintética 2022'!A:F, CONCATENATE(""SELECT F WHERE C="", ""'"",$A2,""'"")),
IFERROR(QUERY('Obras em Andamento'!C:F, CONCATENATE(""SELECT E WHERE C="", ""'"",$A2,""'"")),0),
)"),984358.73)</f>
        <v>984358.73</v>
      </c>
      <c r="F2" s="76">
        <f ca="1">IFERROR(__xludf.DUMMYFUNCTION("SUM(
IFERROR(QUERY('Analítica - Imóveis Estaduais'!AA:AL, CONCATENATE(""SELECT AI WHERE AB="", ""'"",$A2,""'"")),0),
IFERROR(QUERY('Analítica - Imóveis recebidos e'!T:AC, CONCATENATE(""SELECT Z WHERE T="", ""'"",$A2,""'"")),0),
IFERROR(QUERY('Analítica - "&amp;"Imóveis Próprios'!O:X, CONCATENATE(""SELECT U WHERE O="", ""'"",$A2,""'"")),0),
IFERROR(QUERY('Obras em Andamento'!C:F, CONCATENATE(""SELECT F WHERE C="", ""'"",$A2,""'"")),0),
)"),0)</f>
        <v>0</v>
      </c>
      <c r="G2" s="17" t="str">
        <f ca="1">VLOOKUP(A2,APOIO!E:F,2,FALSE)</f>
        <v>1.2.3.8.1.02.01.98.10</v>
      </c>
      <c r="H2" s="77">
        <f ca="1">IFERROR(__xludf.DUMMYFUNCTION("SUM(
IFERROR(QUERY('Analítica - Imóveis Estaduais'!AA:AQ, CONCATENATE(""SELECT AM WHERE AB="", ""'"",$A2,""'"")),0),
IFERROR(QUERY('Analítica - Imóveis recebidos e'!T:AG, CONCATENATE(""SELECT AD WHERE T="", ""'"",$A2,""'"")),0),
IFERROR(QUERY('Analítica -"&amp;" Imóveis Próprios'!O:AB, CONCATENATE(""SELECT Y WHERE O="", ""'"",$A2,""'"")),0),
)"),56431.518)</f>
        <v>56431.517999999996</v>
      </c>
      <c r="I2" s="77">
        <f ca="1">IFERROR(__xludf.DUMMYFUNCTION("SUM(
IFERROR(QUERY('Analítica - Imóveis Estaduais'!AA:AR, CONCATENATE(""SELECT AO WHERE AB="", ""'"",$A2,""'"")),0),
IFERROR(QUERY('Analítica - Imóveis recebidos e'!T:AI, CONCATENATE(""SELECT AF WHERE T="", ""'"",$A2,""'"")),0),
IFERROR(QUERY('Analítica -"&amp;" Imóveis Próprios'!O:AD, CONCATENATE(""SELECT AA WHERE O="", ""'"",$A2,""'"")),0),
)"),752.42024)</f>
        <v>752.42024000000004</v>
      </c>
    </row>
    <row r="3" spans="1:9" x14ac:dyDescent="0.2">
      <c r="A3" s="64" t="str">
        <f ca="1">IFERROR(__xludf.DUMMYFUNCTION("""COMPUTED_VALUE"""),"1.2.3.2.1.01.02.01.00")</f>
        <v>1.2.3.2.1.01.02.01.00</v>
      </c>
      <c r="B3" s="64" t="str">
        <f ca="1">IFERROR(__xludf.DUMMYFUNCTION("QUERY(APOIO!D:E, ""SELECT D WHERE E = '""&amp;A3&amp;""'"")"),"SALAS E ESCRITÓRIOS - USO ESPECIAL")</f>
        <v>SALAS E ESCRITÓRIOS - USO ESPECIAL</v>
      </c>
      <c r="C3" s="64">
        <f>APOIO!$B$2</f>
        <v>3262</v>
      </c>
      <c r="D3" s="64" t="str">
        <f>APOIO!$A$2</f>
        <v>EMATER</v>
      </c>
      <c r="E3" s="75">
        <f ca="1">IFERROR(__xludf.DUMMYFUNCTION("SUM(
QUERY('Sintética 2022'!A:F, CONCATENATE(""SELECT F WHERE C="", ""'"",$A3,""'"")),
IFERROR(QUERY('Obras em Andamento'!C:F, CONCATENATE(""SELECT E WHERE C="", ""'"",$A3,""'"")),0),
)"),38506760.41)</f>
        <v>38506760.409999996</v>
      </c>
      <c r="F3" s="76">
        <f ca="1">IFERROR(__xludf.DUMMYFUNCTION("SUM(
IFERROR(QUERY('Analítica - Imóveis Estaduais'!AA:AL, CONCATENATE(""SELECT AI WHERE AB="", ""'"",$A3,""'"")),0),
IFERROR(QUERY('Analítica - Imóveis recebidos e'!T:AC, CONCATENATE(""SELECT Z WHERE T="", ""'"",$A3,""'"")),0),
IFERROR(QUERY('Analítica - "&amp;"Imóveis Próprios'!O:X, CONCATENATE(""SELECT U WHERE O="", ""'"",$A3,""'"")),0),
IFERROR(QUERY('Obras em Andamento'!C:F, CONCATENATE(""SELECT F WHERE C="", ""'"",$A3,""'"")),0),
)"),0)</f>
        <v>0</v>
      </c>
      <c r="G3" s="17" t="str">
        <f ca="1">VLOOKUP(A3,APOIO!E:F,2,FALSE)</f>
        <v>1.2.3.8.1.02.01.02.01</v>
      </c>
      <c r="H3" s="77">
        <f ca="1">IFERROR(__xludf.DUMMYFUNCTION("SUM(
IFERROR(QUERY('Analítica - Imóveis Estaduais'!AA:AQ, CONCATENATE(""SELECT AM WHERE AB="", ""'"",$A3,""'"")),0),
IFERROR(QUERY('Analítica - Imóveis recebidos e'!T:AG, CONCATENATE(""SELECT AD WHERE T="", ""'"",$A3,""'"")),0),
IFERROR(QUERY('Analítica -"&amp;" Imóveis Próprios'!O:AB, CONCATENATE(""SELECT Y WHERE O="", ""'"",$A3,""'"")),0),
)"),7697774.878)</f>
        <v>7697774.8779999996</v>
      </c>
      <c r="I3" s="77">
        <f ca="1">IFERROR(__xludf.DUMMYFUNCTION("SUM(
IFERROR(QUERY('Analítica - Imóveis Estaduais'!AA:AR, CONCATENATE(""SELECT AO WHERE AB="", ""'"",$A3,""'"")),0),
IFERROR(QUERY('Analítica - Imóveis recebidos e'!T:AI, CONCATENATE(""SELECT AF WHERE T="", ""'"",$A3,""'"")),0),
IFERROR(QUERY('Analítica -"&amp;" Imóveis Próprios'!O:AD, CONCATENATE(""SELECT AA WHERE O="", ""'"",$A3,""'"")),0),
)"),102636.998373333)</f>
        <v>102636.998373333</v>
      </c>
    </row>
    <row r="4" spans="1:9" x14ac:dyDescent="0.2">
      <c r="A4" s="64" t="str">
        <f ca="1">IFERROR(__xludf.DUMMYFUNCTION("""COMPUTED_VALUE"""),"1.2.3.2.1.01.04.01.00")</f>
        <v>1.2.3.2.1.01.04.01.00</v>
      </c>
      <c r="B4" s="64" t="str">
        <f ca="1">IFERROR(__xludf.DUMMYFUNCTION("QUERY(APOIO!D:E, ""SELECT D WHERE E = '""&amp;A4&amp;""'"")"),"TERRENOS - USO ESPECIAL")</f>
        <v>TERRENOS - USO ESPECIAL</v>
      </c>
      <c r="C4" s="64">
        <f>APOIO!$B$2</f>
        <v>3262</v>
      </c>
      <c r="D4" s="64" t="str">
        <f>APOIO!$A$2</f>
        <v>EMATER</v>
      </c>
      <c r="E4" s="75">
        <f ca="1">IFERROR(__xludf.DUMMYFUNCTION("SUM(
QUERY('Sintética 2022'!A:F, CONCATENATE(""SELECT F WHERE C="", ""'"",$A4,""'"")),
IFERROR(QUERY('Obras em Andamento'!C:F, CONCATENATE(""SELECT E WHERE C="", ""'"",$A4,""'"")),0),
)"),21009.8)</f>
        <v>21009.8</v>
      </c>
      <c r="F4" s="76">
        <f ca="1">IFERROR(__xludf.DUMMYFUNCTION("SUM(
IFERROR(QUERY('Analítica - Imóveis Estaduais'!AA:AL, CONCATENATE(""SELECT AI WHERE AB="", ""'"",$A4,""'"")),0),
IFERROR(QUERY('Analítica - Imóveis recebidos e'!T:AC, CONCATENATE(""SELECT Z WHERE T="", ""'"",$A4,""'"")),0),
IFERROR(QUERY('Analítica - "&amp;"Imóveis Próprios'!O:X, CONCATENATE(""SELECT U WHERE O="", ""'"",$A4,""'"")),0),
IFERROR(QUERY('Obras em Andamento'!C:F, CONCATENATE(""SELECT F WHERE C="", ""'"",$A4,""'"")),0),
)"),0)</f>
        <v>0</v>
      </c>
      <c r="G4" s="17" t="str">
        <f ca="1">VLOOKUP(A4,APOIO!E:F,2,FALSE)</f>
        <v>1.2.3.8.1.02.01.04.01</v>
      </c>
      <c r="H4" s="77">
        <f ca="1">IFERROR(__xludf.DUMMYFUNCTION("SUM(
IFERROR(QUERY('Analítica - Imóveis Estaduais'!AA:AQ, CONCATENATE(""SELECT AM WHERE AB="", ""'"",$A4,""'"")),0),
IFERROR(QUERY('Analítica - Imóveis recebidos e'!T:AG, CONCATENATE(""SELECT AD WHERE T="", ""'"",$A4,""'"")),0),
IFERROR(QUERY('Analítica -"&amp;" Imóveis Próprios'!O:AB, CONCATENATE(""SELECT Y WHERE O="", ""'"",$A4,""'"")),0),
)"),0)</f>
        <v>0</v>
      </c>
      <c r="I4" s="77">
        <f ca="1">IFERROR(__xludf.DUMMYFUNCTION("SUM(
IFERROR(QUERY('Analítica - Imóveis Estaduais'!AA:AR, CONCATENATE(""SELECT AO WHERE AB="", ""'"",$A4,""'"")),0),
IFERROR(QUERY('Analítica - Imóveis recebidos e'!T:AI, CONCATENATE(""SELECT AF WHERE T="", ""'"",$A4,""'"")),0),
IFERROR(QUERY('Analítica -"&amp;" Imóveis Próprios'!O:AD, CONCATENATE(""SELECT AA WHERE O="", ""'"",$A4,""'"")),0),
)"),0)</f>
        <v>0</v>
      </c>
    </row>
    <row r="5" spans="1:9" x14ac:dyDescent="0.2">
      <c r="A5" s="64" t="str">
        <f ca="1">IFERROR(__xludf.DUMMYFUNCTION("""COMPUTED_VALUE"""),"1.2.3.2.1.01.10.01.00")</f>
        <v>1.2.3.2.1.01.10.01.00</v>
      </c>
      <c r="B5" s="64" t="str">
        <f ca="1">IFERROR(__xludf.DUMMYFUNCTION("QUERY(APOIO!D:E, ""SELECT D WHERE E = '""&amp;A5&amp;""'"")"),"FAZENDAS - USO ESPECIAL")</f>
        <v>FAZENDAS - USO ESPECIAL</v>
      </c>
      <c r="C5" s="64">
        <f>APOIO!$B$2</f>
        <v>3262</v>
      </c>
      <c r="D5" s="64" t="str">
        <f>APOIO!$A$2</f>
        <v>EMATER</v>
      </c>
      <c r="E5" s="75">
        <f ca="1">IFERROR(__xludf.DUMMYFUNCTION("SUM(
QUERY('Sintética 2022'!A:F, CONCATENATE(""SELECT F WHERE C="", ""'"",$A5,""'"")),
IFERROR(QUERY('Obras em Andamento'!C:F, CONCATENATE(""SELECT E WHERE C="", ""'"",$A5,""'"")),0),
)"),10169715.27)</f>
        <v>10169715.27</v>
      </c>
      <c r="F5" s="76">
        <f ca="1">IFERROR(__xludf.DUMMYFUNCTION("SUM(
IFERROR(QUERY('Analítica - Imóveis Estaduais'!AA:AL, CONCATENATE(""SELECT AI WHERE AB="", ""'"",$A5,""'"")),0),
IFERROR(QUERY('Analítica - Imóveis recebidos e'!T:AC, CONCATENATE(""SELECT Z WHERE T="", ""'"",$A5,""'"")),0),
IFERROR(QUERY('Analítica - "&amp;"Imóveis Próprios'!O:X, CONCATENATE(""SELECT U WHERE O="", ""'"",$A5,""'"")),0),
IFERROR(QUERY('Obras em Andamento'!C:F, CONCATENATE(""SELECT F WHERE C="", ""'"",$A5,""'"")),0),
)"),0)</f>
        <v>0</v>
      </c>
      <c r="G5" s="17" t="str">
        <f ca="1">VLOOKUP(A5,APOIO!E:F,2,FALSE)</f>
        <v>1.2.3.8.1.02.01.10.01</v>
      </c>
      <c r="H5" s="77">
        <f ca="1">IFERROR(__xludf.DUMMYFUNCTION("SUM(
IFERROR(QUERY('Analítica - Imóveis Estaduais'!AA:AQ, CONCATENATE(""SELECT AM WHERE AB="", ""'"",$A5,""'"")),0),
IFERROR(QUERY('Analítica - Imóveis recebidos e'!T:AG, CONCATENATE(""SELECT AD WHERE T="", ""'"",$A5,""'"")),0),
IFERROR(QUERY('Analítica -"&amp;" Imóveis Próprios'!O:AB, CONCATENATE(""SELECT Y WHERE O="", ""'"",$A5,""'"")),0),
)"),0)</f>
        <v>0</v>
      </c>
      <c r="I5" s="77">
        <f ca="1">IFERROR(__xludf.DUMMYFUNCTION("SUM(
IFERROR(QUERY('Analítica - Imóveis Estaduais'!AA:AR, CONCATENATE(""SELECT AO WHERE AB="", ""'"",$A5,""'"")),0),
IFERROR(QUERY('Analítica - Imóveis recebidos e'!T:AI, CONCATENATE(""SELECT AF WHERE T="", ""'"",$A5,""'"")),0),
IFERROR(QUERY('Analítica -"&amp;" Imóveis Próprios'!O:AD, CONCATENATE(""SELECT AA WHERE O="", ""'"",$A5,""'"")),0),
)"),0)</f>
        <v>0</v>
      </c>
    </row>
    <row r="6" spans="1:9" x14ac:dyDescent="0.2">
      <c r="A6" s="64" t="str">
        <f ca="1">IFERROR(__xludf.DUMMYFUNCTION("""COMPUTED_VALUE"""),"1.2.3.2.1.06.01.01.00")</f>
        <v>1.2.3.2.1.06.01.01.00</v>
      </c>
      <c r="B6" s="64" t="str">
        <f ca="1">IFERROR(__xludf.DUMMYFUNCTION("QUERY(APOIO!D:E, ""SELECT D WHERE E = '""&amp;A6&amp;""'"")"),"OBRAS EM ANDAMENTO")</f>
        <v>OBRAS EM ANDAMENTO</v>
      </c>
      <c r="C6" s="64">
        <f>APOIO!$B$2</f>
        <v>3262</v>
      </c>
      <c r="D6" s="64" t="str">
        <f>APOIO!$A$2</f>
        <v>EMATER</v>
      </c>
      <c r="E6" s="75">
        <f ca="1">IFERROR(__xludf.DUMMYFUNCTION("SUM(
QUERY('Sintética 2022'!A:F, CONCATENATE(""SELECT F WHERE C="", ""'"",$A6,""'"")),
IFERROR(QUERY('Obras em Andamento'!C:F, CONCATENATE(""SELECT E WHERE C="", ""'"",$A6,""'"")),0),
)"),0)</f>
        <v>0</v>
      </c>
      <c r="F6" s="76">
        <f ca="1">IFERROR(__xludf.DUMMYFUNCTION("SUM(
IFERROR(QUERY('Analítica - Imóveis Estaduais'!AA:AL, CONCATENATE(""SELECT AI WHERE AB="", ""'"",$A6,""'"")),0),
IFERROR(QUERY('Analítica - Imóveis recebidos e'!T:AC, CONCATENATE(""SELECT Z WHERE T="", ""'"",$A6,""'"")),0),
IFERROR(QUERY('Analítica - "&amp;"Imóveis Próprios'!O:X, CONCATENATE(""SELECT U WHERE O="", ""'"",$A6,""'"")),0),
IFERROR(QUERY('Obras em Andamento'!C:F, CONCATENATE(""SELECT F WHERE C="", ""'"",$A6,""'"")),0),
)"),0)</f>
        <v>0</v>
      </c>
      <c r="G6" s="17" t="str">
        <f ca="1">VLOOKUP(A6,APOIO!E:F,2,FALSE)</f>
        <v>1.2.3.8.1.02.06.01.01</v>
      </c>
      <c r="H6" s="77">
        <f ca="1">IFERROR(__xludf.DUMMYFUNCTION("SUM(
IFERROR(QUERY('Analítica - Imóveis Estaduais'!AA:AQ, CONCATENATE(""SELECT AM WHERE AB="", ""'"",$A6,""'"")),0),
IFERROR(QUERY('Analítica - Imóveis recebidos e'!T:AG, CONCATENATE(""SELECT AD WHERE T="", ""'"",$A6,""'"")),0),
IFERROR(QUERY('Analítica -"&amp;" Imóveis Próprios'!O:AB, CONCATENATE(""SELECT Y WHERE O="", ""'"",$A6,""'"")),0),
)"),0)</f>
        <v>0</v>
      </c>
      <c r="I6" s="77">
        <f ca="1">IFERROR(__xludf.DUMMYFUNCTION("SUM(
IFERROR(QUERY('Analítica - Imóveis Estaduais'!AA:AR, CONCATENATE(""SELECT AO WHERE AB="", ""'"",$A6,""'"")),0),
IFERROR(QUERY('Analítica - Imóveis recebidos e'!T:AI, CONCATENATE(""SELECT AF WHERE T="", ""'"",$A6,""'"")),0),
IFERROR(QUERY('Analítica -"&amp;" Imóveis Próprios'!O:AD, CONCATENATE(""SELECT AA WHERE O="", ""'"",$A6,""'"")),0),
)"),0)</f>
        <v>0</v>
      </c>
    </row>
    <row r="7" spans="1:9" x14ac:dyDescent="0.2">
      <c r="A7" s="64" t="str">
        <f ca="1">IFERROR(__xludf.DUMMYFUNCTION("""COMPUTED_VALUE"""),"1.2.3.2.1.06.01.02.00")</f>
        <v>1.2.3.2.1.06.01.02.00</v>
      </c>
      <c r="B7" s="64" t="str">
        <f ca="1">IFERROR(__xludf.DUMMYFUNCTION("QUERY(APOIO!D:E, ""SELECT D WHERE E = '""&amp;A7&amp;""'"")"),"ESTUDOS E PROJETOS DE EDIFICAÇÕES - SCP")</f>
        <v>ESTUDOS E PROJETOS DE EDIFICAÇÕES - SCP</v>
      </c>
      <c r="C7" s="64">
        <f>APOIO!$B$2</f>
        <v>3262</v>
      </c>
      <c r="D7" s="64" t="str">
        <f>APOIO!$A$2</f>
        <v>EMATER</v>
      </c>
      <c r="E7" s="75">
        <f ca="1">IFERROR(__xludf.DUMMYFUNCTION("SUM(
QUERY('Sintética 2022'!A:F, CONCATENATE(""SELECT F WHERE C="", ""'"",$A7,""'"")),
IFERROR(QUERY('Obras em Andamento'!C:F, CONCATENATE(""SELECT E WHERE C="", ""'"",$A7,""'"")),0),
)"),0)</f>
        <v>0</v>
      </c>
      <c r="F7" s="76">
        <f ca="1">IFERROR(__xludf.DUMMYFUNCTION("SUM(
IFERROR(QUERY('Analítica - Imóveis Estaduais'!AA:AL, CONCATENATE(""SELECT AI WHERE AB="", ""'"",$A7,""'"")),0),
IFERROR(QUERY('Analítica - Imóveis recebidos e'!T:AC, CONCATENATE(""SELECT Z WHERE T="", ""'"",$A7,""'"")),0),
IFERROR(QUERY('Analítica - "&amp;"Imóveis Próprios'!O:X, CONCATENATE(""SELECT U WHERE O="", ""'"",$A7,""'"")),0),
IFERROR(QUERY('Obras em Andamento'!C:F, CONCATENATE(""SELECT F WHERE C="", ""'"",$A7,""'"")),0),
)"),0)</f>
        <v>0</v>
      </c>
      <c r="G7" s="17" t="str">
        <f ca="1">VLOOKUP(A7,APOIO!E:F,2,FALSE)</f>
        <v>1.2.3.8.1.02.06.01.02</v>
      </c>
      <c r="H7" s="77">
        <f ca="1">IFERROR(__xludf.DUMMYFUNCTION("SUM(
IFERROR(QUERY('Analítica - Imóveis Estaduais'!AA:AQ, CONCATENATE(""SELECT AM WHERE AB="", ""'"",$A7,""'"")),0),
IFERROR(QUERY('Analítica - Imóveis recebidos e'!T:AG, CONCATENATE(""SELECT AD WHERE T="", ""'"",$A7,""'"")),0),
IFERROR(QUERY('Analítica -"&amp;" Imóveis Próprios'!O:AB, CONCATENATE(""SELECT Y WHERE O="", ""'"",$A7,""'"")),0),
)"),0)</f>
        <v>0</v>
      </c>
      <c r="I7" s="77">
        <f ca="1">IFERROR(__xludf.DUMMYFUNCTION("SUM(
IFERROR(QUERY('Analítica - Imóveis Estaduais'!AA:AR, CONCATENATE(""SELECT AO WHERE AB="", ""'"",$A7,""'"")),0),
IFERROR(QUERY('Analítica - Imóveis recebidos e'!T:AI, CONCATENATE(""SELECT AF WHERE T="", ""'"",$A7,""'"")),0),
IFERROR(QUERY('Analítica -"&amp;" Imóveis Próprios'!O:AD, CONCATENATE(""SELECT AA WHERE O="", ""'"",$A7,""'"")),0),
)"),0)</f>
        <v>0</v>
      </c>
    </row>
    <row r="8" spans="1:9" x14ac:dyDescent="0.2">
      <c r="A8" s="64" t="str">
        <f ca="1">IFERROR(__xludf.DUMMYFUNCTION("""COMPUTED_VALUE"""),"1.2.3.2.1.99.99.01.00")</f>
        <v>1.2.3.2.1.99.99.01.00</v>
      </c>
      <c r="B8" s="64" t="str">
        <f ca="1">IFERROR(__xludf.DUMMYFUNCTION("QUERY(APOIO!D:E, ""SELECT D WHERE E = '""&amp;A8&amp;""'"")"),"OUTRAS OBRAS EM INSTALAÇÕES")</f>
        <v>OUTRAS OBRAS EM INSTALAÇÕES</v>
      </c>
      <c r="C8" s="64">
        <f>APOIO!$B$2</f>
        <v>3262</v>
      </c>
      <c r="D8" s="64" t="str">
        <f>APOIO!$A$2</f>
        <v>EMATER</v>
      </c>
      <c r="E8" s="75">
        <f ca="1">IFERROR(__xludf.DUMMYFUNCTION("SUM(
QUERY('Sintética 2022'!A:F, CONCATENATE(""SELECT F WHERE C="", ""'"",$A8,""'"")),
IFERROR(QUERY('Obras em Andamento'!C:F, CONCATENATE(""SELECT E WHERE C="", ""'"",$A8,""'"")),0),
)"),52474749.1)</f>
        <v>52474749.100000001</v>
      </c>
      <c r="F8" s="76">
        <f ca="1">IFERROR(__xludf.DUMMYFUNCTION("SUM(
IFERROR(QUERY('Analítica - Imóveis Estaduais'!AA:AL, CONCATENATE(""SELECT AI WHERE AB="", ""'"",$A8,""'"")),0),
IFERROR(QUERY('Analítica - Imóveis recebidos e'!T:AC, CONCATENATE(""SELECT Z WHERE T="", ""'"",$A8,""'"")),0),
IFERROR(QUERY('Analítica - "&amp;"Imóveis Próprios'!O:X, CONCATENATE(""SELECT U WHERE O="", ""'"",$A8,""'"")),0),
IFERROR(QUERY('Obras em Andamento'!C:F, CONCATENATE(""SELECT F WHERE C="", ""'"",$A8,""'"")),0),
)"),0)</f>
        <v>0</v>
      </c>
      <c r="G8" s="17">
        <f ca="1">VLOOKUP(A8,APOIO!E:F,2,FALSE)</f>
        <v>0</v>
      </c>
      <c r="H8" s="77">
        <f ca="1">IFERROR(__xludf.DUMMYFUNCTION("SUM(
IFERROR(QUERY('Analítica - Imóveis Estaduais'!AA:AQ, CONCATENATE(""SELECT AM WHERE AB="", ""'"",$A8,""'"")),0),
IFERROR(QUERY('Analítica - Imóveis recebidos e'!T:AG, CONCATENATE(""SELECT AD WHERE T="", ""'"",$A8,""'"")),0),
IFERROR(QUERY('Analítica -"&amp;" Imóveis Próprios'!O:AB, CONCATENATE(""SELECT Y WHERE O="", ""'"",$A8,""'"")),0),
)"),0)</f>
        <v>0</v>
      </c>
      <c r="I8" s="77">
        <f ca="1">IFERROR(__xludf.DUMMYFUNCTION("SUM(
IFERROR(QUERY('Analítica - Imóveis Estaduais'!AA:AR, CONCATENATE(""SELECT AO WHERE AB="", ""'"",$A8,""'"")),0),
IFERROR(QUERY('Analítica - Imóveis recebidos e'!T:AI, CONCATENATE(""SELECT AF WHERE T="", ""'"",$A8,""'"")),0),
IFERROR(QUERY('Analítica -"&amp;" Imóveis Próprios'!O:AD, CONCATENATE(""SELECT AA WHERE O="", ""'"",$A8,""'"")),0),
)"),0)</f>
        <v>0</v>
      </c>
    </row>
  </sheetData>
  <conditionalFormatting sqref="A2:A4 B2:I8">
    <cfRule type="expression" dxfId="0" priority="1">
      <formula>#REF!="Verdadeiro"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  <outlinePr summaryBelow="0" summaryRight="0"/>
  </sheetPr>
  <dimension ref="A1:M254"/>
  <sheetViews>
    <sheetView workbookViewId="0"/>
  </sheetViews>
  <sheetFormatPr defaultColWidth="12.5703125" defaultRowHeight="15.75" customHeight="1" x14ac:dyDescent="0.2"/>
  <cols>
    <col min="1" max="1" width="32.7109375" customWidth="1"/>
    <col min="2" max="2" width="17.140625" customWidth="1"/>
    <col min="4" max="4" width="19.42578125" customWidth="1"/>
    <col min="5" max="6" width="19.28515625" customWidth="1"/>
    <col min="12" max="12" width="15.85546875" customWidth="1"/>
    <col min="13" max="13" width="17.5703125" customWidth="1"/>
    <col min="14" max="14" width="20.28515625" customWidth="1"/>
  </cols>
  <sheetData>
    <row r="1" spans="1:12" ht="69" x14ac:dyDescent="0.4">
      <c r="A1" s="78" t="s">
        <v>293</v>
      </c>
      <c r="B1" s="79" t="s">
        <v>294</v>
      </c>
      <c r="C1" s="80" t="s">
        <v>295</v>
      </c>
      <c r="D1" s="81" t="s">
        <v>296</v>
      </c>
      <c r="E1" s="81" t="s">
        <v>297</v>
      </c>
      <c r="F1" s="80" t="s">
        <v>42</v>
      </c>
      <c r="G1" s="82" t="s">
        <v>298</v>
      </c>
      <c r="I1" s="82" t="s">
        <v>1</v>
      </c>
      <c r="J1" s="83" t="s">
        <v>46</v>
      </c>
      <c r="K1" s="82" t="s">
        <v>68</v>
      </c>
      <c r="L1" s="82" t="s">
        <v>18</v>
      </c>
    </row>
    <row r="2" spans="1:12" ht="41.25" x14ac:dyDescent="0.4">
      <c r="A2" s="84" t="s">
        <v>51</v>
      </c>
      <c r="B2" s="85">
        <v>3262</v>
      </c>
      <c r="C2" s="85" t="s">
        <v>56</v>
      </c>
      <c r="D2" s="86" t="s">
        <v>299</v>
      </c>
      <c r="E2" s="87" t="s">
        <v>300</v>
      </c>
      <c r="F2" s="87" t="s">
        <v>301</v>
      </c>
      <c r="G2" s="85" t="s">
        <v>56</v>
      </c>
      <c r="I2" s="88" t="s">
        <v>302</v>
      </c>
      <c r="J2" s="89" t="s">
        <v>46</v>
      </c>
      <c r="K2" s="32" t="s">
        <v>53</v>
      </c>
      <c r="L2" s="88" t="s">
        <v>54</v>
      </c>
    </row>
    <row r="3" spans="1:12" ht="39.75" customHeight="1" x14ac:dyDescent="0.2">
      <c r="B3" s="90"/>
      <c r="C3" s="85" t="s">
        <v>59</v>
      </c>
      <c r="D3" s="86" t="s">
        <v>80</v>
      </c>
      <c r="E3" s="87" t="s">
        <v>303</v>
      </c>
      <c r="F3" s="87" t="s">
        <v>304</v>
      </c>
      <c r="G3" s="85" t="s">
        <v>59</v>
      </c>
      <c r="I3" s="88" t="s">
        <v>305</v>
      </c>
      <c r="J3" s="89" t="s">
        <v>306</v>
      </c>
      <c r="K3" s="32" t="s">
        <v>116</v>
      </c>
      <c r="L3" s="88" t="s">
        <v>95</v>
      </c>
    </row>
    <row r="4" spans="1:12" ht="30" x14ac:dyDescent="0.2">
      <c r="A4" s="137" t="s">
        <v>307</v>
      </c>
      <c r="D4" s="86" t="s">
        <v>308</v>
      </c>
      <c r="E4" s="87" t="s">
        <v>309</v>
      </c>
      <c r="F4" s="91" t="s">
        <v>310</v>
      </c>
      <c r="I4" s="88" t="s">
        <v>91</v>
      </c>
      <c r="J4" s="89" t="s">
        <v>311</v>
      </c>
      <c r="K4" s="92"/>
      <c r="L4" s="88" t="s">
        <v>312</v>
      </c>
    </row>
    <row r="5" spans="1:12" ht="25.5" x14ac:dyDescent="0.2">
      <c r="A5" s="138"/>
      <c r="D5" s="86" t="s">
        <v>96</v>
      </c>
      <c r="E5" s="87" t="s">
        <v>313</v>
      </c>
      <c r="F5" s="87" t="s">
        <v>314</v>
      </c>
      <c r="I5" s="88" t="s">
        <v>315</v>
      </c>
      <c r="J5" s="89" t="s">
        <v>316</v>
      </c>
      <c r="K5" s="92"/>
      <c r="L5" s="88" t="s">
        <v>103</v>
      </c>
    </row>
    <row r="6" spans="1:12" ht="30" x14ac:dyDescent="0.2">
      <c r="A6" s="93" t="s">
        <v>317</v>
      </c>
      <c r="B6" s="93">
        <v>1</v>
      </c>
      <c r="D6" s="86" t="s">
        <v>318</v>
      </c>
      <c r="E6" s="87" t="s">
        <v>319</v>
      </c>
      <c r="F6" s="91" t="s">
        <v>320</v>
      </c>
      <c r="I6" s="88" t="s">
        <v>321</v>
      </c>
      <c r="J6" s="89" t="s">
        <v>322</v>
      </c>
      <c r="K6" s="92"/>
      <c r="L6" s="88" t="s">
        <v>323</v>
      </c>
    </row>
    <row r="7" spans="1:12" ht="30" x14ac:dyDescent="0.4">
      <c r="A7" s="84" t="s">
        <v>324</v>
      </c>
      <c r="B7" s="93">
        <v>2</v>
      </c>
      <c r="D7" s="86" t="s">
        <v>325</v>
      </c>
      <c r="E7" s="87" t="s">
        <v>326</v>
      </c>
      <c r="F7" s="87" t="s">
        <v>327</v>
      </c>
      <c r="I7" s="88" t="s">
        <v>328</v>
      </c>
      <c r="J7" s="94"/>
      <c r="K7" s="92"/>
      <c r="L7" s="88" t="s">
        <v>329</v>
      </c>
    </row>
    <row r="8" spans="1:12" ht="30" x14ac:dyDescent="0.2">
      <c r="A8" s="95" t="s">
        <v>330</v>
      </c>
      <c r="B8" s="93">
        <v>3</v>
      </c>
      <c r="D8" s="86" t="s">
        <v>331</v>
      </c>
      <c r="E8" s="87" t="s">
        <v>332</v>
      </c>
      <c r="F8" s="91" t="s">
        <v>333</v>
      </c>
      <c r="I8" s="88" t="s">
        <v>334</v>
      </c>
      <c r="J8" s="94"/>
      <c r="K8" s="92"/>
      <c r="L8" s="92"/>
    </row>
    <row r="9" spans="1:12" ht="25.5" x14ac:dyDescent="0.2">
      <c r="A9" s="93" t="s">
        <v>335</v>
      </c>
      <c r="B9" s="93">
        <v>4</v>
      </c>
      <c r="D9" s="86" t="s">
        <v>336</v>
      </c>
      <c r="E9" s="87" t="s">
        <v>337</v>
      </c>
      <c r="F9" s="87" t="s">
        <v>338</v>
      </c>
      <c r="I9" s="88" t="s">
        <v>97</v>
      </c>
      <c r="J9" s="94"/>
      <c r="K9" s="92"/>
      <c r="L9" s="92"/>
    </row>
    <row r="10" spans="1:12" ht="25.5" x14ac:dyDescent="0.2">
      <c r="D10" s="86" t="s">
        <v>339</v>
      </c>
      <c r="E10" s="87" t="s">
        <v>340</v>
      </c>
      <c r="F10" s="87" t="s">
        <v>341</v>
      </c>
      <c r="I10" s="88" t="s">
        <v>342</v>
      </c>
      <c r="J10" s="94"/>
      <c r="K10" s="92"/>
      <c r="L10" s="92"/>
    </row>
    <row r="11" spans="1:12" ht="30" x14ac:dyDescent="0.2">
      <c r="D11" s="86" t="s">
        <v>343</v>
      </c>
      <c r="E11" s="87" t="s">
        <v>344</v>
      </c>
      <c r="F11" s="87" t="s">
        <v>345</v>
      </c>
      <c r="I11" s="88" t="s">
        <v>346</v>
      </c>
      <c r="J11" s="94"/>
      <c r="K11" s="92"/>
      <c r="L11" s="92"/>
    </row>
    <row r="12" spans="1:12" ht="30" x14ac:dyDescent="0.2">
      <c r="D12" s="86" t="s">
        <v>347</v>
      </c>
      <c r="E12" s="87" t="s">
        <v>348</v>
      </c>
      <c r="F12" s="91" t="s">
        <v>349</v>
      </c>
      <c r="I12" s="88" t="s">
        <v>100</v>
      </c>
      <c r="J12" s="94"/>
      <c r="K12" s="92"/>
      <c r="L12" s="92"/>
    </row>
    <row r="13" spans="1:12" ht="30" x14ac:dyDescent="0.2">
      <c r="D13" s="86" t="s">
        <v>350</v>
      </c>
      <c r="E13" s="87" t="s">
        <v>351</v>
      </c>
      <c r="F13" s="87" t="s">
        <v>352</v>
      </c>
      <c r="I13" s="88" t="s">
        <v>104</v>
      </c>
      <c r="J13" s="94"/>
      <c r="K13" s="92"/>
      <c r="L13" s="92"/>
    </row>
    <row r="14" spans="1:12" ht="25.5" x14ac:dyDescent="0.2">
      <c r="D14" s="86" t="s">
        <v>353</v>
      </c>
      <c r="E14" s="87" t="s">
        <v>354</v>
      </c>
      <c r="F14" s="91" t="s">
        <v>355</v>
      </c>
      <c r="I14" s="88" t="s">
        <v>356</v>
      </c>
      <c r="J14" s="94"/>
      <c r="K14" s="92"/>
      <c r="L14" s="92"/>
    </row>
    <row r="15" spans="1:12" ht="30" x14ac:dyDescent="0.2">
      <c r="D15" s="86" t="s">
        <v>117</v>
      </c>
      <c r="E15" s="87" t="s">
        <v>357</v>
      </c>
      <c r="F15" s="87" t="s">
        <v>358</v>
      </c>
      <c r="I15" s="88" t="s">
        <v>359</v>
      </c>
      <c r="J15" s="94"/>
      <c r="K15" s="92"/>
      <c r="L15" s="92"/>
    </row>
    <row r="16" spans="1:12" ht="30" x14ac:dyDescent="0.2">
      <c r="D16" s="86" t="s">
        <v>360</v>
      </c>
      <c r="E16" s="87" t="s">
        <v>361</v>
      </c>
      <c r="F16" s="91" t="s">
        <v>362</v>
      </c>
      <c r="I16" s="88" t="s">
        <v>363</v>
      </c>
      <c r="J16" s="94"/>
      <c r="K16" s="92"/>
      <c r="L16" s="92"/>
    </row>
    <row r="17" spans="4:13" ht="25.5" x14ac:dyDescent="0.2">
      <c r="D17" s="86" t="s">
        <v>364</v>
      </c>
      <c r="E17" s="87" t="s">
        <v>365</v>
      </c>
      <c r="F17" s="91" t="s">
        <v>366</v>
      </c>
      <c r="I17" s="88" t="s">
        <v>367</v>
      </c>
      <c r="J17" s="94"/>
      <c r="K17" s="92"/>
      <c r="L17" s="92"/>
    </row>
    <row r="18" spans="4:13" ht="25.5" x14ac:dyDescent="0.2">
      <c r="D18" s="86" t="s">
        <v>368</v>
      </c>
      <c r="E18" s="87" t="s">
        <v>369</v>
      </c>
      <c r="F18" s="87" t="s">
        <v>370</v>
      </c>
      <c r="I18" s="88" t="s">
        <v>371</v>
      </c>
      <c r="J18" s="94"/>
      <c r="K18" s="92"/>
      <c r="L18" s="92"/>
    </row>
    <row r="19" spans="4:13" ht="25.5" x14ac:dyDescent="0.2">
      <c r="D19" s="86" t="s">
        <v>372</v>
      </c>
      <c r="E19" s="91" t="s">
        <v>373</v>
      </c>
      <c r="F19" s="87" t="s">
        <v>374</v>
      </c>
      <c r="I19" s="88" t="s">
        <v>107</v>
      </c>
      <c r="J19" s="94"/>
      <c r="K19" s="92"/>
      <c r="L19" s="96"/>
    </row>
    <row r="20" spans="4:13" ht="30" x14ac:dyDescent="0.2">
      <c r="D20" s="86" t="s">
        <v>375</v>
      </c>
      <c r="E20" s="87" t="s">
        <v>376</v>
      </c>
      <c r="F20" s="87" t="s">
        <v>377</v>
      </c>
      <c r="G20" s="97"/>
      <c r="H20" s="97"/>
      <c r="I20" s="88" t="s">
        <v>378</v>
      </c>
      <c r="J20" s="94"/>
      <c r="K20" s="96"/>
      <c r="L20" s="96"/>
      <c r="M20" s="97"/>
    </row>
    <row r="21" spans="4:13" ht="38.25" x14ac:dyDescent="0.2">
      <c r="D21" s="98" t="s">
        <v>379</v>
      </c>
      <c r="E21" s="99" t="s">
        <v>380</v>
      </c>
      <c r="F21" s="91" t="s">
        <v>381</v>
      </c>
      <c r="G21" s="97"/>
      <c r="H21" s="97"/>
      <c r="I21" s="88" t="s">
        <v>382</v>
      </c>
      <c r="J21" s="94"/>
      <c r="K21" s="96"/>
      <c r="L21" s="96"/>
      <c r="M21" s="97"/>
    </row>
    <row r="22" spans="4:13" ht="25.5" x14ac:dyDescent="0.2">
      <c r="D22" s="98" t="s">
        <v>383</v>
      </c>
      <c r="E22" s="99" t="s">
        <v>384</v>
      </c>
      <c r="F22" s="87" t="s">
        <v>385</v>
      </c>
      <c r="G22" s="97"/>
      <c r="H22" s="97"/>
      <c r="I22" s="88" t="s">
        <v>386</v>
      </c>
      <c r="J22" s="94"/>
      <c r="K22" s="96"/>
      <c r="L22" s="96"/>
      <c r="M22" s="97"/>
    </row>
    <row r="23" spans="4:13" ht="63.75" x14ac:dyDescent="0.2">
      <c r="D23" s="98" t="s">
        <v>387</v>
      </c>
      <c r="E23" s="99" t="s">
        <v>388</v>
      </c>
      <c r="F23" s="91" t="s">
        <v>389</v>
      </c>
      <c r="G23" s="97"/>
      <c r="H23" s="97"/>
      <c r="I23" s="88" t="s">
        <v>110</v>
      </c>
      <c r="J23" s="94"/>
      <c r="K23" s="96"/>
      <c r="L23" s="96"/>
      <c r="M23" s="97"/>
    </row>
    <row r="24" spans="4:13" ht="25.5" x14ac:dyDescent="0.2">
      <c r="D24" s="86" t="s">
        <v>390</v>
      </c>
      <c r="E24" s="87" t="s">
        <v>391</v>
      </c>
      <c r="F24" s="91" t="s">
        <v>392</v>
      </c>
      <c r="G24" s="97"/>
      <c r="H24" s="97"/>
      <c r="I24" s="88" t="s">
        <v>393</v>
      </c>
      <c r="J24" s="94"/>
      <c r="K24" s="96"/>
      <c r="L24" s="96"/>
      <c r="M24" s="97"/>
    </row>
    <row r="25" spans="4:13" ht="25.5" x14ac:dyDescent="0.2">
      <c r="D25" s="86" t="s">
        <v>394</v>
      </c>
      <c r="E25" s="87" t="s">
        <v>395</v>
      </c>
      <c r="F25" s="91" t="s">
        <v>396</v>
      </c>
      <c r="G25" s="97"/>
      <c r="H25" s="97"/>
      <c r="I25" s="88" t="s">
        <v>397</v>
      </c>
      <c r="J25" s="94"/>
      <c r="K25" s="96"/>
      <c r="L25" s="96"/>
      <c r="M25" s="97"/>
    </row>
    <row r="26" spans="4:13" ht="25.5" x14ac:dyDescent="0.2">
      <c r="D26" s="86" t="s">
        <v>398</v>
      </c>
      <c r="E26" s="91" t="s">
        <v>399</v>
      </c>
      <c r="F26" s="87" t="s">
        <v>400</v>
      </c>
      <c r="G26" s="97"/>
      <c r="H26" s="97"/>
      <c r="I26" s="88" t="s">
        <v>401</v>
      </c>
      <c r="J26" s="94"/>
      <c r="K26" s="96"/>
      <c r="L26" s="100"/>
      <c r="M26" s="97"/>
    </row>
    <row r="27" spans="4:13" ht="26.25" x14ac:dyDescent="0.25">
      <c r="D27" s="86" t="s">
        <v>402</v>
      </c>
      <c r="E27" s="91" t="s">
        <v>403</v>
      </c>
      <c r="F27" s="91" t="s">
        <v>404</v>
      </c>
      <c r="G27" s="97"/>
      <c r="H27" s="97"/>
      <c r="I27" s="88" t="s">
        <v>405</v>
      </c>
      <c r="J27" s="94"/>
      <c r="K27" s="96"/>
      <c r="L27" s="100"/>
      <c r="M27" s="101"/>
    </row>
    <row r="28" spans="4:13" ht="26.25" x14ac:dyDescent="0.25">
      <c r="D28" s="86" t="s">
        <v>406</v>
      </c>
      <c r="E28" s="91" t="s">
        <v>407</v>
      </c>
      <c r="F28" s="91" t="s">
        <v>408</v>
      </c>
      <c r="G28" s="97"/>
      <c r="H28" s="97"/>
      <c r="I28" s="88" t="s">
        <v>409</v>
      </c>
      <c r="J28" s="94"/>
      <c r="K28" s="96"/>
      <c r="L28" s="100"/>
      <c r="M28" s="101"/>
    </row>
    <row r="29" spans="4:13" ht="39" x14ac:dyDescent="0.25">
      <c r="D29" s="86" t="s">
        <v>410</v>
      </c>
      <c r="E29" s="91" t="s">
        <v>411</v>
      </c>
      <c r="F29" s="91" t="s">
        <v>412</v>
      </c>
      <c r="G29" s="97"/>
      <c r="H29" s="97"/>
      <c r="I29" s="88" t="s">
        <v>413</v>
      </c>
      <c r="J29" s="94"/>
      <c r="K29" s="96"/>
      <c r="L29" s="96"/>
      <c r="M29" s="101"/>
    </row>
    <row r="30" spans="4:13" ht="25.5" x14ac:dyDescent="0.2">
      <c r="D30" s="86" t="s">
        <v>414</v>
      </c>
      <c r="E30" s="87" t="s">
        <v>415</v>
      </c>
      <c r="F30" s="91" t="s">
        <v>416</v>
      </c>
      <c r="G30" s="97"/>
      <c r="H30" s="97"/>
      <c r="I30" s="88" t="s">
        <v>417</v>
      </c>
      <c r="J30" s="94"/>
      <c r="K30" s="96"/>
      <c r="L30" s="96"/>
      <c r="M30" s="97"/>
    </row>
    <row r="31" spans="4:13" ht="25.5" x14ac:dyDescent="0.2">
      <c r="D31" s="86" t="s">
        <v>418</v>
      </c>
      <c r="E31" s="87" t="s">
        <v>419</v>
      </c>
      <c r="F31" s="91" t="s">
        <v>420</v>
      </c>
      <c r="G31" s="97"/>
      <c r="H31" s="97"/>
      <c r="I31" s="88" t="s">
        <v>421</v>
      </c>
      <c r="J31" s="94"/>
      <c r="K31" s="96"/>
      <c r="L31" s="96"/>
      <c r="M31" s="97"/>
    </row>
    <row r="32" spans="4:13" ht="25.5" x14ac:dyDescent="0.2">
      <c r="D32" s="86" t="s">
        <v>422</v>
      </c>
      <c r="E32" s="87" t="s">
        <v>423</v>
      </c>
      <c r="F32" s="87" t="s">
        <v>424</v>
      </c>
      <c r="G32" s="97"/>
      <c r="H32" s="97"/>
      <c r="I32" s="88" t="s">
        <v>118</v>
      </c>
      <c r="J32" s="94"/>
      <c r="K32" s="96"/>
      <c r="L32" s="96"/>
      <c r="M32" s="97"/>
    </row>
    <row r="33" spans="4:13" ht="38.25" x14ac:dyDescent="0.2">
      <c r="D33" s="86" t="s">
        <v>425</v>
      </c>
      <c r="E33" s="87" t="s">
        <v>426</v>
      </c>
      <c r="F33" s="91" t="s">
        <v>427</v>
      </c>
      <c r="G33" s="97"/>
      <c r="H33" s="97"/>
      <c r="I33" s="88" t="s">
        <v>82</v>
      </c>
      <c r="J33" s="94"/>
      <c r="K33" s="96"/>
      <c r="L33" s="96"/>
      <c r="M33" s="97"/>
    </row>
    <row r="34" spans="4:13" ht="51" x14ac:dyDescent="0.2">
      <c r="D34" s="86" t="s">
        <v>428</v>
      </c>
      <c r="E34" s="87" t="s">
        <v>429</v>
      </c>
      <c r="F34" s="87" t="s">
        <v>430</v>
      </c>
      <c r="G34" s="97"/>
      <c r="H34" s="97"/>
      <c r="I34" s="88" t="s">
        <v>431</v>
      </c>
      <c r="J34" s="94"/>
      <c r="K34" s="96"/>
      <c r="L34" s="96"/>
      <c r="M34" s="97"/>
    </row>
    <row r="35" spans="4:13" ht="38.25" x14ac:dyDescent="0.2">
      <c r="D35" s="86" t="s">
        <v>432</v>
      </c>
      <c r="E35" s="87" t="s">
        <v>433</v>
      </c>
      <c r="F35" s="91" t="s">
        <v>434</v>
      </c>
      <c r="G35" s="97"/>
      <c r="H35" s="97"/>
      <c r="I35" s="88" t="s">
        <v>121</v>
      </c>
      <c r="J35" s="94"/>
      <c r="K35" s="96"/>
      <c r="L35" s="92"/>
      <c r="M35" s="97"/>
    </row>
    <row r="36" spans="4:13" ht="38.25" x14ac:dyDescent="0.2">
      <c r="D36" s="86" t="s">
        <v>435</v>
      </c>
      <c r="E36" s="87" t="s">
        <v>436</v>
      </c>
      <c r="F36" s="87" t="s">
        <v>437</v>
      </c>
      <c r="I36" s="88" t="s">
        <v>124</v>
      </c>
      <c r="J36" s="94"/>
      <c r="K36" s="92"/>
      <c r="L36" s="92"/>
    </row>
    <row r="37" spans="4:13" ht="25.5" x14ac:dyDescent="0.2">
      <c r="D37" s="86" t="s">
        <v>438</v>
      </c>
      <c r="E37" s="99" t="s">
        <v>439</v>
      </c>
      <c r="F37" s="87" t="s">
        <v>440</v>
      </c>
      <c r="I37" s="88" t="s">
        <v>441</v>
      </c>
      <c r="J37" s="94"/>
      <c r="K37" s="92"/>
      <c r="L37" s="92"/>
    </row>
    <row r="38" spans="4:13" ht="51" x14ac:dyDescent="0.2">
      <c r="D38" s="86" t="s">
        <v>442</v>
      </c>
      <c r="E38" s="87" t="s">
        <v>443</v>
      </c>
      <c r="F38" s="87" t="s">
        <v>444</v>
      </c>
      <c r="I38" s="88" t="s">
        <v>445</v>
      </c>
      <c r="J38" s="94"/>
      <c r="K38" s="92"/>
      <c r="L38" s="92"/>
    </row>
    <row r="39" spans="4:13" ht="76.5" x14ac:dyDescent="0.2">
      <c r="D39" s="86" t="s">
        <v>446</v>
      </c>
      <c r="E39" s="87" t="s">
        <v>447</v>
      </c>
      <c r="F39" s="91" t="s">
        <v>448</v>
      </c>
      <c r="I39" s="88" t="s">
        <v>449</v>
      </c>
      <c r="J39" s="94"/>
      <c r="K39" s="92"/>
      <c r="L39" s="92"/>
    </row>
    <row r="40" spans="4:13" ht="38.25" x14ac:dyDescent="0.2">
      <c r="D40" s="86" t="s">
        <v>450</v>
      </c>
      <c r="E40" s="87" t="s">
        <v>451</v>
      </c>
      <c r="F40" s="87" t="s">
        <v>452</v>
      </c>
      <c r="I40" s="88" t="s">
        <v>453</v>
      </c>
      <c r="J40" s="94"/>
      <c r="K40" s="92"/>
      <c r="L40" s="92"/>
    </row>
    <row r="41" spans="4:13" ht="63.75" x14ac:dyDescent="0.2">
      <c r="D41" s="86" t="s">
        <v>454</v>
      </c>
      <c r="E41" s="87" t="s">
        <v>455</v>
      </c>
      <c r="F41" s="91" t="s">
        <v>456</v>
      </c>
      <c r="I41" s="88" t="s">
        <v>457</v>
      </c>
      <c r="J41" s="94"/>
      <c r="K41" s="92"/>
      <c r="L41" s="92"/>
    </row>
    <row r="42" spans="4:13" ht="38.25" x14ac:dyDescent="0.2">
      <c r="D42" s="86" t="s">
        <v>458</v>
      </c>
      <c r="E42" s="91" t="s">
        <v>459</v>
      </c>
      <c r="F42" s="87" t="s">
        <v>460</v>
      </c>
      <c r="I42" s="88" t="s">
        <v>461</v>
      </c>
      <c r="J42" s="94"/>
      <c r="K42" s="92"/>
      <c r="L42" s="92"/>
    </row>
    <row r="43" spans="4:13" ht="38.25" x14ac:dyDescent="0.2">
      <c r="D43" s="102" t="s">
        <v>58</v>
      </c>
      <c r="E43" s="87" t="s">
        <v>462</v>
      </c>
      <c r="F43" s="87" t="s">
        <v>463</v>
      </c>
      <c r="I43" s="88" t="s">
        <v>464</v>
      </c>
      <c r="J43" s="94"/>
      <c r="K43" s="92"/>
      <c r="L43" s="92"/>
    </row>
    <row r="44" spans="4:13" ht="25.5" x14ac:dyDescent="0.2">
      <c r="D44" s="103" t="s">
        <v>465</v>
      </c>
      <c r="E44" s="104" t="s">
        <v>466</v>
      </c>
      <c r="F44" s="105" t="s">
        <v>467</v>
      </c>
      <c r="I44" s="88" t="s">
        <v>468</v>
      </c>
      <c r="J44" s="94"/>
      <c r="K44" s="92"/>
      <c r="L44" s="92"/>
    </row>
    <row r="45" spans="4:13" ht="25.5" x14ac:dyDescent="0.2">
      <c r="D45" s="103" t="s">
        <v>469</v>
      </c>
      <c r="E45" s="104" t="s">
        <v>470</v>
      </c>
      <c r="F45" s="105" t="s">
        <v>471</v>
      </c>
      <c r="I45" s="88" t="s">
        <v>472</v>
      </c>
      <c r="J45" s="94"/>
      <c r="K45" s="92"/>
      <c r="L45" s="92"/>
    </row>
    <row r="46" spans="4:13" ht="30" x14ac:dyDescent="0.2">
      <c r="D46" s="103" t="s">
        <v>473</v>
      </c>
      <c r="E46" s="104" t="s">
        <v>474</v>
      </c>
      <c r="F46" s="105" t="s">
        <v>475</v>
      </c>
      <c r="I46" s="88" t="s">
        <v>127</v>
      </c>
      <c r="J46" s="94"/>
      <c r="K46" s="92"/>
      <c r="L46" s="92"/>
    </row>
    <row r="47" spans="4:13" ht="38.25" x14ac:dyDescent="0.2">
      <c r="D47" s="103" t="s">
        <v>476</v>
      </c>
      <c r="E47" s="104" t="s">
        <v>477</v>
      </c>
      <c r="F47" s="104" t="s">
        <v>478</v>
      </c>
      <c r="I47" s="88" t="s">
        <v>479</v>
      </c>
      <c r="J47" s="94"/>
      <c r="K47" s="92"/>
      <c r="L47" s="92"/>
    </row>
    <row r="48" spans="4:13" ht="30" x14ac:dyDescent="0.2">
      <c r="D48" s="103" t="s">
        <v>480</v>
      </c>
      <c r="E48" s="104" t="s">
        <v>481</v>
      </c>
      <c r="F48" s="104" t="s">
        <v>482</v>
      </c>
      <c r="I48" s="88" t="s">
        <v>483</v>
      </c>
      <c r="J48" s="94"/>
      <c r="K48" s="92"/>
      <c r="L48" s="92"/>
    </row>
    <row r="49" spans="4:12" ht="25.5" x14ac:dyDescent="0.2">
      <c r="D49" s="103" t="s">
        <v>484</v>
      </c>
      <c r="E49" s="104" t="s">
        <v>485</v>
      </c>
      <c r="F49" s="104" t="s">
        <v>486</v>
      </c>
      <c r="I49" s="88" t="s">
        <v>130</v>
      </c>
      <c r="J49" s="94"/>
      <c r="K49" s="92"/>
      <c r="L49" s="92"/>
    </row>
    <row r="50" spans="4:12" ht="25.5" x14ac:dyDescent="0.2">
      <c r="D50" s="103" t="s">
        <v>487</v>
      </c>
      <c r="E50" s="104" t="s">
        <v>488</v>
      </c>
      <c r="F50" s="105" t="s">
        <v>489</v>
      </c>
      <c r="I50" s="88" t="s">
        <v>490</v>
      </c>
      <c r="J50" s="94"/>
      <c r="K50" s="92"/>
      <c r="L50" s="92"/>
    </row>
    <row r="51" spans="4:12" ht="25.5" x14ac:dyDescent="0.2">
      <c r="D51" s="103" t="s">
        <v>491</v>
      </c>
      <c r="E51" s="104" t="s">
        <v>492</v>
      </c>
      <c r="F51" s="105" t="s">
        <v>493</v>
      </c>
      <c r="I51" s="88" t="s">
        <v>494</v>
      </c>
      <c r="J51" s="94"/>
      <c r="K51" s="92"/>
      <c r="L51" s="92"/>
    </row>
    <row r="52" spans="4:12" ht="25.5" x14ac:dyDescent="0.2">
      <c r="D52" s="103" t="s">
        <v>495</v>
      </c>
      <c r="E52" s="104" t="s">
        <v>496</v>
      </c>
      <c r="F52" s="104" t="s">
        <v>497</v>
      </c>
      <c r="I52" s="88" t="s">
        <v>498</v>
      </c>
      <c r="J52" s="94"/>
      <c r="K52" s="92"/>
      <c r="L52" s="92"/>
    </row>
    <row r="53" spans="4:12" ht="30" x14ac:dyDescent="0.2">
      <c r="D53" s="103" t="s">
        <v>499</v>
      </c>
      <c r="E53" s="104" t="s">
        <v>500</v>
      </c>
      <c r="F53" s="104" t="s">
        <v>501</v>
      </c>
      <c r="I53" s="88" t="s">
        <v>502</v>
      </c>
      <c r="J53" s="94"/>
      <c r="K53" s="92"/>
      <c r="L53" s="92"/>
    </row>
    <row r="54" spans="4:12" ht="25.5" x14ac:dyDescent="0.2">
      <c r="D54" s="103" t="s">
        <v>503</v>
      </c>
      <c r="E54" s="104" t="s">
        <v>504</v>
      </c>
      <c r="F54" s="104" t="s">
        <v>505</v>
      </c>
      <c r="I54" s="88" t="s">
        <v>506</v>
      </c>
      <c r="J54" s="94"/>
      <c r="K54" s="92"/>
      <c r="L54" s="92"/>
    </row>
    <row r="55" spans="4:12" ht="25.5" x14ac:dyDescent="0.2">
      <c r="D55" s="106" t="s">
        <v>507</v>
      </c>
      <c r="E55" s="107" t="s">
        <v>508</v>
      </c>
      <c r="F55" s="107" t="s">
        <v>509</v>
      </c>
      <c r="I55" s="88" t="s">
        <v>510</v>
      </c>
      <c r="J55" s="94"/>
      <c r="K55" s="92"/>
      <c r="L55" s="92"/>
    </row>
    <row r="56" spans="4:12" ht="45" x14ac:dyDescent="0.2">
      <c r="D56" s="106" t="s">
        <v>511</v>
      </c>
      <c r="E56" s="107" t="s">
        <v>512</v>
      </c>
      <c r="F56" s="108" t="s">
        <v>513</v>
      </c>
      <c r="I56" s="88" t="s">
        <v>514</v>
      </c>
      <c r="J56" s="94"/>
      <c r="K56" s="92"/>
      <c r="L56" s="92"/>
    </row>
    <row r="57" spans="4:12" ht="45" x14ac:dyDescent="0.2">
      <c r="D57" s="106" t="s">
        <v>515</v>
      </c>
      <c r="E57" s="107" t="s">
        <v>516</v>
      </c>
      <c r="F57" s="107" t="s">
        <v>509</v>
      </c>
      <c r="I57" s="88" t="s">
        <v>517</v>
      </c>
      <c r="J57" s="94"/>
      <c r="K57" s="92"/>
      <c r="L57" s="92"/>
    </row>
    <row r="58" spans="4:12" ht="30" x14ac:dyDescent="0.2">
      <c r="D58" s="106" t="s">
        <v>518</v>
      </c>
      <c r="E58" s="107" t="s">
        <v>519</v>
      </c>
      <c r="F58" s="108" t="s">
        <v>513</v>
      </c>
      <c r="I58" s="88" t="s">
        <v>133</v>
      </c>
      <c r="J58" s="94"/>
      <c r="K58" s="92"/>
      <c r="L58" s="92"/>
    </row>
    <row r="59" spans="4:12" ht="30" x14ac:dyDescent="0.2">
      <c r="D59" s="106" t="s">
        <v>520</v>
      </c>
      <c r="E59" s="107" t="s">
        <v>521</v>
      </c>
      <c r="F59" s="108" t="s">
        <v>522</v>
      </c>
      <c r="I59" s="88" t="s">
        <v>523</v>
      </c>
      <c r="J59" s="94"/>
      <c r="K59" s="92"/>
      <c r="L59" s="92"/>
    </row>
    <row r="60" spans="4:12" ht="63.75" x14ac:dyDescent="0.2">
      <c r="D60" s="106" t="s">
        <v>524</v>
      </c>
      <c r="E60" s="107" t="s">
        <v>525</v>
      </c>
      <c r="F60" s="108"/>
      <c r="I60" s="88" t="s">
        <v>136</v>
      </c>
      <c r="J60" s="94"/>
      <c r="K60" s="92"/>
      <c r="L60" s="92"/>
    </row>
    <row r="61" spans="4:12" ht="51" x14ac:dyDescent="0.2">
      <c r="D61" s="106" t="s">
        <v>526</v>
      </c>
      <c r="E61" s="107" t="s">
        <v>527</v>
      </c>
      <c r="F61" s="108"/>
      <c r="I61" s="88" t="s">
        <v>528</v>
      </c>
      <c r="J61" s="94"/>
      <c r="K61" s="92"/>
      <c r="L61" s="92"/>
    </row>
    <row r="62" spans="4:12" ht="51" x14ac:dyDescent="0.2">
      <c r="D62" s="106" t="s">
        <v>529</v>
      </c>
      <c r="E62" s="107" t="s">
        <v>530</v>
      </c>
      <c r="F62" s="108"/>
      <c r="I62" s="88" t="s">
        <v>531</v>
      </c>
      <c r="J62" s="94"/>
      <c r="K62" s="92"/>
      <c r="L62" s="92"/>
    </row>
    <row r="63" spans="4:12" ht="51" x14ac:dyDescent="0.2">
      <c r="D63" s="106" t="s">
        <v>532</v>
      </c>
      <c r="E63" s="108" t="s">
        <v>533</v>
      </c>
      <c r="F63" s="108" t="s">
        <v>534</v>
      </c>
      <c r="I63" s="88" t="s">
        <v>535</v>
      </c>
      <c r="J63" s="94"/>
      <c r="K63" s="92"/>
      <c r="L63" s="92"/>
    </row>
    <row r="64" spans="4:12" ht="15" x14ac:dyDescent="0.2">
      <c r="D64" s="109" t="s">
        <v>536</v>
      </c>
      <c r="E64" s="108" t="s">
        <v>537</v>
      </c>
      <c r="F64" s="109"/>
      <c r="I64" s="88" t="s">
        <v>538</v>
      </c>
      <c r="J64" s="94"/>
      <c r="K64" s="92"/>
      <c r="L64" s="92"/>
    </row>
    <row r="65" spans="4:12" ht="25.5" x14ac:dyDescent="0.2">
      <c r="D65" s="110" t="s">
        <v>539</v>
      </c>
      <c r="E65" s="111" t="s">
        <v>540</v>
      </c>
      <c r="F65" s="112"/>
      <c r="I65" s="88" t="s">
        <v>138</v>
      </c>
      <c r="J65" s="94"/>
      <c r="K65" s="92"/>
      <c r="L65" s="92"/>
    </row>
    <row r="66" spans="4:12" ht="25.5" x14ac:dyDescent="0.2">
      <c r="D66" s="110" t="s">
        <v>541</v>
      </c>
      <c r="E66" s="111" t="s">
        <v>542</v>
      </c>
      <c r="F66" s="112"/>
      <c r="I66" s="88" t="s">
        <v>543</v>
      </c>
      <c r="J66" s="94"/>
      <c r="K66" s="92"/>
      <c r="L66" s="92"/>
    </row>
    <row r="67" spans="4:12" ht="38.25" x14ac:dyDescent="0.2">
      <c r="D67" s="110" t="s">
        <v>544</v>
      </c>
      <c r="E67" s="113" t="s">
        <v>545</v>
      </c>
      <c r="F67" s="112"/>
      <c r="I67" s="88" t="s">
        <v>546</v>
      </c>
      <c r="J67" s="94"/>
      <c r="K67" s="92"/>
      <c r="L67" s="92"/>
    </row>
    <row r="68" spans="4:12" ht="25.5" x14ac:dyDescent="0.2">
      <c r="D68" s="110" t="s">
        <v>547</v>
      </c>
      <c r="E68" s="113" t="s">
        <v>548</v>
      </c>
      <c r="F68" s="112"/>
      <c r="I68" s="88"/>
      <c r="J68" s="94"/>
      <c r="K68" s="92"/>
      <c r="L68" s="92"/>
    </row>
    <row r="69" spans="4:12" ht="25.5" x14ac:dyDescent="0.2">
      <c r="D69" s="114" t="s">
        <v>279</v>
      </c>
      <c r="E69" s="115" t="s">
        <v>278</v>
      </c>
      <c r="F69" s="115" t="s">
        <v>549</v>
      </c>
      <c r="I69" s="88"/>
      <c r="J69" s="94"/>
      <c r="K69" s="92"/>
      <c r="L69" s="92"/>
    </row>
    <row r="70" spans="4:12" ht="30" x14ac:dyDescent="0.2">
      <c r="D70" s="114" t="s">
        <v>283</v>
      </c>
      <c r="E70" s="116" t="s">
        <v>282</v>
      </c>
      <c r="F70" s="116"/>
      <c r="I70" s="88" t="s">
        <v>550</v>
      </c>
      <c r="J70" s="94"/>
      <c r="K70" s="92"/>
      <c r="L70" s="92"/>
    </row>
    <row r="71" spans="4:12" ht="38.25" x14ac:dyDescent="0.2">
      <c r="D71" s="114" t="s">
        <v>281</v>
      </c>
      <c r="E71" s="115" t="s">
        <v>280</v>
      </c>
      <c r="F71" s="115" t="s">
        <v>551</v>
      </c>
      <c r="I71" s="88" t="s">
        <v>552</v>
      </c>
      <c r="J71" s="94"/>
      <c r="K71" s="92"/>
      <c r="L71" s="92"/>
    </row>
    <row r="72" spans="4:12" ht="30" x14ac:dyDescent="0.2">
      <c r="I72" s="88" t="s">
        <v>148</v>
      </c>
      <c r="J72" s="94"/>
      <c r="K72" s="92"/>
      <c r="L72" s="92"/>
    </row>
    <row r="73" spans="4:12" ht="30" x14ac:dyDescent="0.2">
      <c r="I73" s="88" t="s">
        <v>553</v>
      </c>
      <c r="J73" s="94"/>
      <c r="K73" s="92"/>
      <c r="L73" s="92"/>
    </row>
    <row r="74" spans="4:12" ht="30" x14ac:dyDescent="0.2">
      <c r="I74" s="88" t="s">
        <v>554</v>
      </c>
      <c r="J74" s="94"/>
      <c r="K74" s="92"/>
      <c r="L74" s="92"/>
    </row>
    <row r="75" spans="4:12" ht="15" x14ac:dyDescent="0.2">
      <c r="I75" s="88" t="s">
        <v>555</v>
      </c>
      <c r="J75" s="94"/>
      <c r="K75" s="92"/>
    </row>
    <row r="76" spans="4:12" ht="15" x14ac:dyDescent="0.2">
      <c r="I76" s="88" t="s">
        <v>556</v>
      </c>
      <c r="J76" s="94"/>
      <c r="K76" s="92"/>
    </row>
    <row r="77" spans="4:12" ht="30" x14ac:dyDescent="0.2">
      <c r="I77" s="88" t="s">
        <v>557</v>
      </c>
      <c r="J77" s="94"/>
      <c r="K77" s="92"/>
    </row>
    <row r="78" spans="4:12" ht="15" x14ac:dyDescent="0.2">
      <c r="I78" s="88" t="s">
        <v>145</v>
      </c>
      <c r="J78" s="94"/>
      <c r="K78" s="92"/>
    </row>
    <row r="79" spans="4:12" ht="15" x14ac:dyDescent="0.2">
      <c r="I79" s="88" t="s">
        <v>558</v>
      </c>
      <c r="J79" s="94"/>
      <c r="K79" s="92"/>
    </row>
    <row r="80" spans="4:12" ht="15" x14ac:dyDescent="0.2">
      <c r="I80" s="88" t="s">
        <v>559</v>
      </c>
      <c r="J80" s="94"/>
      <c r="K80" s="92"/>
    </row>
    <row r="81" spans="9:11" ht="30" x14ac:dyDescent="0.2">
      <c r="I81" s="88" t="s">
        <v>560</v>
      </c>
      <c r="J81" s="94"/>
      <c r="K81" s="92"/>
    </row>
    <row r="82" spans="9:11" ht="15" x14ac:dyDescent="0.2">
      <c r="I82" s="88" t="s">
        <v>151</v>
      </c>
      <c r="J82" s="94"/>
      <c r="K82" s="92"/>
    </row>
    <row r="83" spans="9:11" ht="15" x14ac:dyDescent="0.2">
      <c r="I83" s="88" t="s">
        <v>561</v>
      </c>
      <c r="J83" s="94"/>
      <c r="K83" s="92"/>
    </row>
    <row r="84" spans="9:11" ht="15" x14ac:dyDescent="0.2">
      <c r="I84" s="88" t="s">
        <v>562</v>
      </c>
      <c r="J84" s="94"/>
      <c r="K84" s="92"/>
    </row>
    <row r="85" spans="9:11" ht="30" x14ac:dyDescent="0.2">
      <c r="I85" s="88" t="s">
        <v>563</v>
      </c>
      <c r="J85" s="94"/>
      <c r="K85" s="92"/>
    </row>
    <row r="86" spans="9:11" ht="15" x14ac:dyDescent="0.2">
      <c r="I86" s="88" t="s">
        <v>564</v>
      </c>
      <c r="J86" s="94"/>
      <c r="K86" s="92"/>
    </row>
    <row r="87" spans="9:11" ht="15" x14ac:dyDescent="0.2">
      <c r="I87" s="88" t="s">
        <v>565</v>
      </c>
      <c r="J87" s="94"/>
      <c r="K87" s="92"/>
    </row>
    <row r="88" spans="9:11" ht="15" x14ac:dyDescent="0.2">
      <c r="I88" s="88" t="s">
        <v>566</v>
      </c>
      <c r="J88" s="94"/>
      <c r="K88" s="92"/>
    </row>
    <row r="89" spans="9:11" ht="30" x14ac:dyDescent="0.2">
      <c r="I89" s="88" t="s">
        <v>567</v>
      </c>
      <c r="J89" s="94"/>
      <c r="K89" s="92"/>
    </row>
    <row r="90" spans="9:11" ht="15" x14ac:dyDescent="0.2">
      <c r="I90" s="88" t="s">
        <v>568</v>
      </c>
      <c r="J90" s="94"/>
      <c r="K90" s="92"/>
    </row>
    <row r="91" spans="9:11" ht="30" x14ac:dyDescent="0.2">
      <c r="I91" s="88" t="s">
        <v>154</v>
      </c>
      <c r="J91" s="94"/>
      <c r="K91" s="92"/>
    </row>
    <row r="92" spans="9:11" ht="15" x14ac:dyDescent="0.2">
      <c r="I92" s="88" t="s">
        <v>569</v>
      </c>
      <c r="J92" s="94"/>
      <c r="K92" s="92"/>
    </row>
    <row r="93" spans="9:11" ht="30" x14ac:dyDescent="0.2">
      <c r="I93" s="88" t="s">
        <v>570</v>
      </c>
      <c r="J93" s="94"/>
      <c r="K93" s="92"/>
    </row>
    <row r="94" spans="9:11" ht="15" x14ac:dyDescent="0.2">
      <c r="I94" s="88" t="s">
        <v>571</v>
      </c>
      <c r="J94" s="94"/>
      <c r="K94" s="92"/>
    </row>
    <row r="95" spans="9:11" ht="15" x14ac:dyDescent="0.2">
      <c r="I95" s="88" t="s">
        <v>157</v>
      </c>
      <c r="J95" s="94"/>
      <c r="K95" s="92"/>
    </row>
    <row r="96" spans="9:11" ht="30" x14ac:dyDescent="0.2">
      <c r="I96" s="88" t="s">
        <v>572</v>
      </c>
      <c r="J96" s="94"/>
      <c r="K96" s="92"/>
    </row>
    <row r="97" spans="9:11" ht="15" x14ac:dyDescent="0.2">
      <c r="I97" s="88" t="s">
        <v>573</v>
      </c>
      <c r="J97" s="94"/>
      <c r="K97" s="92"/>
    </row>
    <row r="98" spans="9:11" ht="15" x14ac:dyDescent="0.2">
      <c r="I98" s="88" t="s">
        <v>574</v>
      </c>
      <c r="J98" s="94"/>
      <c r="K98" s="92"/>
    </row>
    <row r="99" spans="9:11" ht="15" x14ac:dyDescent="0.2">
      <c r="I99" s="88" t="s">
        <v>164</v>
      </c>
      <c r="J99" s="94"/>
      <c r="K99" s="92"/>
    </row>
    <row r="100" spans="9:11" ht="15" x14ac:dyDescent="0.2">
      <c r="I100" s="88" t="s">
        <v>160</v>
      </c>
      <c r="J100" s="94"/>
      <c r="K100" s="92"/>
    </row>
    <row r="101" spans="9:11" ht="15" x14ac:dyDescent="0.2">
      <c r="I101" s="88" t="s">
        <v>575</v>
      </c>
      <c r="J101" s="94"/>
      <c r="K101" s="92"/>
    </row>
    <row r="102" spans="9:11" ht="15" x14ac:dyDescent="0.2">
      <c r="I102" s="88" t="s">
        <v>142</v>
      </c>
      <c r="J102" s="94"/>
      <c r="K102" s="92"/>
    </row>
    <row r="103" spans="9:11" ht="15" x14ac:dyDescent="0.2">
      <c r="I103" s="88" t="s">
        <v>576</v>
      </c>
      <c r="J103" s="94"/>
      <c r="K103" s="92"/>
    </row>
    <row r="104" spans="9:11" ht="15" x14ac:dyDescent="0.2">
      <c r="I104" s="88" t="s">
        <v>577</v>
      </c>
      <c r="J104" s="94"/>
      <c r="K104" s="92"/>
    </row>
    <row r="105" spans="9:11" ht="15" x14ac:dyDescent="0.2">
      <c r="I105" s="88" t="s">
        <v>167</v>
      </c>
      <c r="J105" s="94"/>
      <c r="K105" s="92"/>
    </row>
    <row r="106" spans="9:11" ht="15" x14ac:dyDescent="0.2">
      <c r="I106" s="88" t="s">
        <v>578</v>
      </c>
      <c r="J106" s="94"/>
      <c r="K106" s="92"/>
    </row>
    <row r="107" spans="9:11" ht="30" x14ac:dyDescent="0.2">
      <c r="I107" s="88" t="s">
        <v>579</v>
      </c>
      <c r="J107" s="94"/>
      <c r="K107" s="92"/>
    </row>
    <row r="108" spans="9:11" ht="15" x14ac:dyDescent="0.2">
      <c r="I108" s="88" t="s">
        <v>580</v>
      </c>
      <c r="J108" s="94"/>
      <c r="K108" s="92"/>
    </row>
    <row r="109" spans="9:11" ht="15" x14ac:dyDescent="0.2">
      <c r="I109" s="88" t="s">
        <v>581</v>
      </c>
      <c r="J109" s="94"/>
      <c r="K109" s="92"/>
    </row>
    <row r="110" spans="9:11" ht="15" x14ac:dyDescent="0.2">
      <c r="I110" s="88" t="s">
        <v>582</v>
      </c>
      <c r="J110" s="94"/>
      <c r="K110" s="92"/>
    </row>
    <row r="111" spans="9:11" ht="15" x14ac:dyDescent="0.2">
      <c r="I111" s="88" t="s">
        <v>583</v>
      </c>
      <c r="J111" s="94"/>
      <c r="K111" s="92"/>
    </row>
    <row r="112" spans="9:11" ht="15" x14ac:dyDescent="0.2">
      <c r="I112" s="88" t="s">
        <v>170</v>
      </c>
      <c r="J112" s="94"/>
      <c r="K112" s="92"/>
    </row>
    <row r="113" spans="9:11" ht="15" x14ac:dyDescent="0.2">
      <c r="I113" s="88" t="s">
        <v>584</v>
      </c>
      <c r="J113" s="94"/>
      <c r="K113" s="92"/>
    </row>
    <row r="114" spans="9:11" ht="15" x14ac:dyDescent="0.2">
      <c r="I114" s="88" t="s">
        <v>585</v>
      </c>
      <c r="J114" s="94"/>
      <c r="K114" s="92"/>
    </row>
    <row r="115" spans="9:11" ht="15" x14ac:dyDescent="0.2">
      <c r="I115" s="88" t="s">
        <v>586</v>
      </c>
      <c r="J115" s="94"/>
      <c r="K115" s="92"/>
    </row>
    <row r="116" spans="9:11" ht="15" x14ac:dyDescent="0.2">
      <c r="I116" s="88" t="s">
        <v>172</v>
      </c>
      <c r="J116" s="94"/>
      <c r="K116" s="92"/>
    </row>
    <row r="117" spans="9:11" ht="30" x14ac:dyDescent="0.2">
      <c r="I117" s="88" t="s">
        <v>587</v>
      </c>
      <c r="J117" s="94"/>
      <c r="K117" s="92"/>
    </row>
    <row r="118" spans="9:11" ht="15" x14ac:dyDescent="0.2">
      <c r="I118" s="88" t="s">
        <v>588</v>
      </c>
      <c r="J118" s="94"/>
      <c r="K118" s="92"/>
    </row>
    <row r="119" spans="9:11" ht="15" x14ac:dyDescent="0.2">
      <c r="I119" s="88" t="s">
        <v>589</v>
      </c>
      <c r="J119" s="94"/>
      <c r="K119" s="92"/>
    </row>
    <row r="120" spans="9:11" ht="15" x14ac:dyDescent="0.2">
      <c r="I120" s="88" t="s">
        <v>175</v>
      </c>
      <c r="J120" s="94"/>
      <c r="K120" s="92"/>
    </row>
    <row r="121" spans="9:11" ht="15" x14ac:dyDescent="0.2">
      <c r="I121" s="88" t="s">
        <v>590</v>
      </c>
      <c r="J121" s="94"/>
      <c r="K121" s="92"/>
    </row>
    <row r="122" spans="9:11" ht="15" x14ac:dyDescent="0.2">
      <c r="I122" s="88" t="s">
        <v>591</v>
      </c>
      <c r="J122" s="94"/>
      <c r="K122" s="92"/>
    </row>
    <row r="123" spans="9:11" ht="15" x14ac:dyDescent="0.2">
      <c r="I123" s="88" t="s">
        <v>592</v>
      </c>
      <c r="J123" s="94"/>
      <c r="K123" s="92"/>
    </row>
    <row r="124" spans="9:11" ht="15" x14ac:dyDescent="0.2">
      <c r="I124" s="88" t="s">
        <v>178</v>
      </c>
      <c r="J124" s="94"/>
      <c r="K124" s="92"/>
    </row>
    <row r="125" spans="9:11" ht="15" x14ac:dyDescent="0.2">
      <c r="I125" s="88" t="s">
        <v>180</v>
      </c>
      <c r="J125" s="94"/>
      <c r="K125" s="92"/>
    </row>
    <row r="126" spans="9:11" ht="15" x14ac:dyDescent="0.2">
      <c r="I126" s="88" t="s">
        <v>183</v>
      </c>
      <c r="J126" s="94"/>
      <c r="K126" s="92"/>
    </row>
    <row r="127" spans="9:11" ht="15" x14ac:dyDescent="0.2">
      <c r="I127" s="88" t="s">
        <v>593</v>
      </c>
      <c r="J127" s="94"/>
      <c r="K127" s="92"/>
    </row>
    <row r="128" spans="9:11" ht="15" x14ac:dyDescent="0.2">
      <c r="I128" s="88" t="s">
        <v>594</v>
      </c>
      <c r="J128" s="94"/>
      <c r="K128" s="92"/>
    </row>
    <row r="129" spans="9:11" ht="15" x14ac:dyDescent="0.2">
      <c r="I129" s="88" t="s">
        <v>185</v>
      </c>
      <c r="J129" s="94"/>
      <c r="K129" s="92"/>
    </row>
    <row r="130" spans="9:11" ht="15" x14ac:dyDescent="0.2">
      <c r="I130" s="88" t="s">
        <v>595</v>
      </c>
      <c r="J130" s="94"/>
      <c r="K130" s="92"/>
    </row>
    <row r="131" spans="9:11" ht="15" x14ac:dyDescent="0.2">
      <c r="I131" s="88" t="s">
        <v>191</v>
      </c>
      <c r="J131" s="94"/>
      <c r="K131" s="92"/>
    </row>
    <row r="132" spans="9:11" ht="15" x14ac:dyDescent="0.2">
      <c r="I132" s="88" t="s">
        <v>596</v>
      </c>
      <c r="J132" s="94"/>
      <c r="K132" s="92"/>
    </row>
    <row r="133" spans="9:11" ht="15" x14ac:dyDescent="0.2">
      <c r="I133" s="88" t="s">
        <v>188</v>
      </c>
      <c r="J133" s="94"/>
      <c r="K133" s="92"/>
    </row>
    <row r="134" spans="9:11" ht="15" x14ac:dyDescent="0.2">
      <c r="I134" s="88" t="s">
        <v>597</v>
      </c>
      <c r="J134" s="94"/>
      <c r="K134" s="92"/>
    </row>
    <row r="135" spans="9:11" ht="15" x14ac:dyDescent="0.2">
      <c r="I135" s="88" t="s">
        <v>598</v>
      </c>
      <c r="J135" s="94"/>
      <c r="K135" s="92"/>
    </row>
    <row r="136" spans="9:11" ht="15" x14ac:dyDescent="0.2">
      <c r="I136" s="88" t="s">
        <v>599</v>
      </c>
      <c r="J136" s="94"/>
      <c r="K136" s="92"/>
    </row>
    <row r="137" spans="9:11" ht="15" x14ac:dyDescent="0.2">
      <c r="I137" s="88" t="s">
        <v>194</v>
      </c>
      <c r="J137" s="94"/>
      <c r="K137" s="92"/>
    </row>
    <row r="138" spans="9:11" ht="15" x14ac:dyDescent="0.2">
      <c r="I138" s="88" t="s">
        <v>600</v>
      </c>
      <c r="J138" s="94"/>
      <c r="K138" s="92"/>
    </row>
    <row r="139" spans="9:11" ht="30" x14ac:dyDescent="0.2">
      <c r="I139" s="88" t="s">
        <v>197</v>
      </c>
      <c r="J139" s="94"/>
      <c r="K139" s="92"/>
    </row>
    <row r="140" spans="9:11" ht="15" x14ac:dyDescent="0.2">
      <c r="I140" s="88" t="s">
        <v>601</v>
      </c>
      <c r="J140" s="94"/>
      <c r="K140" s="92"/>
    </row>
    <row r="141" spans="9:11" ht="15" x14ac:dyDescent="0.2">
      <c r="I141" s="88" t="s">
        <v>602</v>
      </c>
      <c r="J141" s="94"/>
      <c r="K141" s="92"/>
    </row>
    <row r="142" spans="9:11" ht="15" x14ac:dyDescent="0.2">
      <c r="I142" s="88" t="s">
        <v>603</v>
      </c>
      <c r="J142" s="94"/>
      <c r="K142" s="92"/>
    </row>
    <row r="143" spans="9:11" ht="15" x14ac:dyDescent="0.2">
      <c r="I143" s="88" t="s">
        <v>201</v>
      </c>
      <c r="J143" s="94"/>
      <c r="K143" s="92"/>
    </row>
    <row r="144" spans="9:11" ht="15" x14ac:dyDescent="0.2">
      <c r="I144" s="88" t="s">
        <v>604</v>
      </c>
      <c r="J144" s="94"/>
      <c r="K144" s="92"/>
    </row>
    <row r="145" spans="9:11" ht="15" x14ac:dyDescent="0.2">
      <c r="I145" s="88" t="s">
        <v>605</v>
      </c>
      <c r="J145" s="94"/>
      <c r="K145" s="92"/>
    </row>
    <row r="146" spans="9:11" ht="15" x14ac:dyDescent="0.2">
      <c r="I146" s="88" t="s">
        <v>606</v>
      </c>
      <c r="J146" s="94"/>
      <c r="K146" s="92"/>
    </row>
    <row r="147" spans="9:11" ht="30" x14ac:dyDescent="0.2">
      <c r="I147" s="88" t="s">
        <v>607</v>
      </c>
      <c r="J147" s="94"/>
      <c r="K147" s="92"/>
    </row>
    <row r="148" spans="9:11" ht="15" x14ac:dyDescent="0.2">
      <c r="I148" s="88" t="s">
        <v>608</v>
      </c>
      <c r="J148" s="94"/>
      <c r="K148" s="92"/>
    </row>
    <row r="149" spans="9:11" ht="15" x14ac:dyDescent="0.2">
      <c r="I149" s="88" t="s">
        <v>204</v>
      </c>
      <c r="J149" s="94"/>
      <c r="K149" s="92"/>
    </row>
    <row r="150" spans="9:11" ht="15" x14ac:dyDescent="0.2">
      <c r="I150" s="88" t="s">
        <v>609</v>
      </c>
      <c r="J150" s="94"/>
      <c r="K150" s="92"/>
    </row>
    <row r="151" spans="9:11" ht="45" x14ac:dyDescent="0.2">
      <c r="I151" s="88" t="s">
        <v>610</v>
      </c>
      <c r="J151" s="94"/>
      <c r="K151" s="92"/>
    </row>
    <row r="152" spans="9:11" ht="45" x14ac:dyDescent="0.2">
      <c r="I152" s="88" t="s">
        <v>211</v>
      </c>
      <c r="J152" s="94"/>
      <c r="K152" s="92"/>
    </row>
    <row r="153" spans="9:11" ht="15" x14ac:dyDescent="0.2">
      <c r="I153" s="88" t="s">
        <v>611</v>
      </c>
      <c r="J153" s="94"/>
      <c r="K153" s="92"/>
    </row>
    <row r="154" spans="9:11" ht="30" x14ac:dyDescent="0.2">
      <c r="I154" s="88" t="s">
        <v>612</v>
      </c>
      <c r="J154" s="94"/>
      <c r="K154" s="92"/>
    </row>
    <row r="155" spans="9:11" ht="15" x14ac:dyDescent="0.2">
      <c r="I155" s="88" t="s">
        <v>206</v>
      </c>
      <c r="J155" s="94"/>
      <c r="K155" s="92"/>
    </row>
    <row r="156" spans="9:11" ht="30" x14ac:dyDescent="0.2">
      <c r="I156" s="88" t="s">
        <v>209</v>
      </c>
      <c r="J156" s="94"/>
      <c r="K156" s="92"/>
    </row>
    <row r="157" spans="9:11" ht="15" x14ac:dyDescent="0.2">
      <c r="I157" s="88" t="s">
        <v>613</v>
      </c>
      <c r="J157" s="94"/>
      <c r="K157" s="92"/>
    </row>
    <row r="158" spans="9:11" ht="15" x14ac:dyDescent="0.2">
      <c r="I158" s="88" t="s">
        <v>213</v>
      </c>
      <c r="J158" s="94"/>
      <c r="K158" s="92"/>
    </row>
    <row r="159" spans="9:11" ht="15" x14ac:dyDescent="0.2">
      <c r="I159" s="88" t="s">
        <v>614</v>
      </c>
      <c r="J159" s="94"/>
      <c r="K159" s="92"/>
    </row>
    <row r="160" spans="9:11" ht="15" x14ac:dyDescent="0.2">
      <c r="I160" s="88" t="s">
        <v>615</v>
      </c>
      <c r="J160" s="94"/>
      <c r="K160" s="92"/>
    </row>
    <row r="161" spans="9:11" ht="15" x14ac:dyDescent="0.2">
      <c r="I161" s="88" t="s">
        <v>616</v>
      </c>
      <c r="J161" s="94"/>
      <c r="K161" s="92"/>
    </row>
    <row r="162" spans="9:11" ht="15" x14ac:dyDescent="0.2">
      <c r="I162" s="88" t="s">
        <v>617</v>
      </c>
      <c r="J162" s="94"/>
      <c r="K162" s="92"/>
    </row>
    <row r="163" spans="9:11" ht="15" x14ac:dyDescent="0.2">
      <c r="I163" s="88" t="s">
        <v>618</v>
      </c>
      <c r="J163" s="94"/>
      <c r="K163" s="92"/>
    </row>
    <row r="164" spans="9:11" ht="30" x14ac:dyDescent="0.2">
      <c r="I164" s="88" t="s">
        <v>619</v>
      </c>
      <c r="J164" s="94"/>
      <c r="K164" s="92"/>
    </row>
    <row r="165" spans="9:11" ht="15" x14ac:dyDescent="0.2">
      <c r="I165" s="88" t="s">
        <v>620</v>
      </c>
      <c r="J165" s="94"/>
      <c r="K165" s="92"/>
    </row>
    <row r="166" spans="9:11" ht="15" x14ac:dyDescent="0.2">
      <c r="I166" s="88" t="s">
        <v>621</v>
      </c>
      <c r="J166" s="94"/>
      <c r="K166" s="92"/>
    </row>
    <row r="167" spans="9:11" ht="15" x14ac:dyDescent="0.2">
      <c r="I167" s="88" t="s">
        <v>622</v>
      </c>
      <c r="J167" s="94"/>
      <c r="K167" s="92"/>
    </row>
    <row r="168" spans="9:11" ht="30" x14ac:dyDescent="0.2">
      <c r="I168" s="88" t="s">
        <v>623</v>
      </c>
      <c r="J168" s="94"/>
      <c r="K168" s="92"/>
    </row>
    <row r="169" spans="9:11" ht="15" x14ac:dyDescent="0.2">
      <c r="I169" s="88" t="s">
        <v>624</v>
      </c>
      <c r="J169" s="94"/>
      <c r="K169" s="92"/>
    </row>
    <row r="170" spans="9:11" ht="15" x14ac:dyDescent="0.2">
      <c r="I170" s="88" t="s">
        <v>216</v>
      </c>
      <c r="J170" s="94"/>
      <c r="K170" s="92"/>
    </row>
    <row r="171" spans="9:11" ht="15" x14ac:dyDescent="0.2">
      <c r="I171" s="88" t="s">
        <v>625</v>
      </c>
      <c r="J171" s="94"/>
      <c r="K171" s="92"/>
    </row>
    <row r="172" spans="9:11" ht="15" x14ac:dyDescent="0.2">
      <c r="I172" s="88" t="s">
        <v>626</v>
      </c>
      <c r="J172" s="94"/>
      <c r="K172" s="92"/>
    </row>
    <row r="173" spans="9:11" ht="30" x14ac:dyDescent="0.2">
      <c r="I173" s="88" t="s">
        <v>627</v>
      </c>
      <c r="J173" s="94"/>
      <c r="K173" s="92"/>
    </row>
    <row r="174" spans="9:11" ht="15" x14ac:dyDescent="0.2">
      <c r="I174" s="88" t="s">
        <v>218</v>
      </c>
      <c r="J174" s="94"/>
      <c r="K174" s="92"/>
    </row>
    <row r="175" spans="9:11" ht="30" x14ac:dyDescent="0.2">
      <c r="I175" s="88" t="s">
        <v>628</v>
      </c>
      <c r="J175" s="94"/>
      <c r="K175" s="92"/>
    </row>
    <row r="176" spans="9:11" ht="15" x14ac:dyDescent="0.2">
      <c r="I176" s="88" t="s">
        <v>629</v>
      </c>
      <c r="J176" s="94"/>
      <c r="K176" s="92"/>
    </row>
    <row r="177" spans="9:11" ht="30" x14ac:dyDescent="0.2">
      <c r="I177" s="88" t="s">
        <v>221</v>
      </c>
      <c r="J177" s="94"/>
      <c r="K177" s="92"/>
    </row>
    <row r="178" spans="9:11" ht="30" x14ac:dyDescent="0.2">
      <c r="I178" s="88" t="s">
        <v>630</v>
      </c>
      <c r="J178" s="94"/>
      <c r="K178" s="92"/>
    </row>
    <row r="179" spans="9:11" ht="30" x14ac:dyDescent="0.2">
      <c r="I179" s="88" t="s">
        <v>45</v>
      </c>
      <c r="J179" s="94"/>
      <c r="K179" s="92"/>
    </row>
    <row r="180" spans="9:11" ht="15" x14ac:dyDescent="0.2">
      <c r="I180" s="88" t="s">
        <v>631</v>
      </c>
      <c r="J180" s="94"/>
      <c r="K180" s="92"/>
    </row>
    <row r="181" spans="9:11" ht="15" x14ac:dyDescent="0.2">
      <c r="I181" s="88" t="s">
        <v>632</v>
      </c>
      <c r="J181" s="94"/>
      <c r="K181" s="92"/>
    </row>
    <row r="182" spans="9:11" ht="15" x14ac:dyDescent="0.2">
      <c r="I182" s="88" t="s">
        <v>633</v>
      </c>
      <c r="J182" s="94"/>
      <c r="K182" s="92"/>
    </row>
    <row r="183" spans="9:11" ht="15" x14ac:dyDescent="0.2">
      <c r="I183" s="88" t="s">
        <v>224</v>
      </c>
      <c r="J183" s="94"/>
      <c r="K183" s="92"/>
    </row>
    <row r="184" spans="9:11" ht="15" x14ac:dyDescent="0.2">
      <c r="I184" s="88" t="s">
        <v>634</v>
      </c>
      <c r="J184" s="94"/>
      <c r="K184" s="92"/>
    </row>
    <row r="185" spans="9:11" ht="15" x14ac:dyDescent="0.2">
      <c r="I185" s="88" t="s">
        <v>635</v>
      </c>
      <c r="J185" s="94"/>
      <c r="K185" s="92"/>
    </row>
    <row r="186" spans="9:11" ht="30" x14ac:dyDescent="0.2">
      <c r="I186" s="88" t="s">
        <v>636</v>
      </c>
      <c r="J186" s="94"/>
      <c r="K186" s="92"/>
    </row>
    <row r="187" spans="9:11" ht="30" x14ac:dyDescent="0.2">
      <c r="I187" s="88" t="s">
        <v>637</v>
      </c>
      <c r="J187" s="94"/>
      <c r="K187" s="92"/>
    </row>
    <row r="188" spans="9:11" ht="15" x14ac:dyDescent="0.2">
      <c r="I188" s="88" t="s">
        <v>72</v>
      </c>
      <c r="J188" s="94"/>
      <c r="K188" s="92"/>
    </row>
    <row r="189" spans="9:11" ht="15" x14ac:dyDescent="0.2">
      <c r="I189" s="88" t="s">
        <v>227</v>
      </c>
      <c r="J189" s="94"/>
      <c r="K189" s="92"/>
    </row>
    <row r="190" spans="9:11" ht="15" x14ac:dyDescent="0.2">
      <c r="I190" s="88" t="s">
        <v>638</v>
      </c>
      <c r="J190" s="94"/>
      <c r="K190" s="92"/>
    </row>
    <row r="191" spans="9:11" ht="15" x14ac:dyDescent="0.2">
      <c r="I191" s="88" t="s">
        <v>639</v>
      </c>
      <c r="J191" s="94"/>
      <c r="K191" s="92"/>
    </row>
    <row r="192" spans="9:11" ht="15" x14ac:dyDescent="0.2">
      <c r="I192" s="88" t="s">
        <v>640</v>
      </c>
      <c r="J192" s="94"/>
      <c r="K192" s="92"/>
    </row>
    <row r="193" spans="9:11" ht="15" x14ac:dyDescent="0.2">
      <c r="I193" s="88" t="s">
        <v>641</v>
      </c>
      <c r="J193" s="94"/>
      <c r="K193" s="92"/>
    </row>
    <row r="194" spans="9:11" ht="15" x14ac:dyDescent="0.2">
      <c r="I194" s="88" t="s">
        <v>230</v>
      </c>
      <c r="J194" s="94"/>
      <c r="K194" s="92"/>
    </row>
    <row r="195" spans="9:11" ht="15" x14ac:dyDescent="0.2">
      <c r="I195" s="88" t="s">
        <v>642</v>
      </c>
      <c r="J195" s="94"/>
      <c r="K195" s="92"/>
    </row>
    <row r="196" spans="9:11" ht="15" x14ac:dyDescent="0.2">
      <c r="I196" s="88" t="s">
        <v>643</v>
      </c>
      <c r="J196" s="94"/>
      <c r="K196" s="92"/>
    </row>
    <row r="197" spans="9:11" ht="15" x14ac:dyDescent="0.2">
      <c r="I197" s="88" t="s">
        <v>235</v>
      </c>
      <c r="J197" s="94"/>
      <c r="K197" s="92"/>
    </row>
    <row r="198" spans="9:11" ht="30" x14ac:dyDescent="0.2">
      <c r="I198" s="88" t="s">
        <v>644</v>
      </c>
      <c r="J198" s="94"/>
      <c r="K198" s="92"/>
    </row>
    <row r="199" spans="9:11" ht="15" x14ac:dyDescent="0.2">
      <c r="I199" s="88" t="s">
        <v>238</v>
      </c>
      <c r="J199" s="94"/>
      <c r="K199" s="92"/>
    </row>
    <row r="200" spans="9:11" ht="15" x14ac:dyDescent="0.2">
      <c r="I200" s="88" t="s">
        <v>645</v>
      </c>
      <c r="J200" s="94"/>
      <c r="K200" s="92"/>
    </row>
    <row r="201" spans="9:11" ht="15" x14ac:dyDescent="0.2">
      <c r="I201" s="88" t="s">
        <v>646</v>
      </c>
      <c r="J201" s="94"/>
      <c r="K201" s="92"/>
    </row>
    <row r="202" spans="9:11" ht="30" x14ac:dyDescent="0.2">
      <c r="I202" s="88" t="s">
        <v>647</v>
      </c>
      <c r="J202" s="94"/>
      <c r="K202" s="92"/>
    </row>
    <row r="203" spans="9:11" ht="15" x14ac:dyDescent="0.2">
      <c r="I203" s="88" t="s">
        <v>241</v>
      </c>
      <c r="J203" s="94"/>
      <c r="K203" s="92"/>
    </row>
    <row r="204" spans="9:11" ht="15" x14ac:dyDescent="0.2">
      <c r="I204" s="88" t="s">
        <v>243</v>
      </c>
      <c r="J204" s="94"/>
      <c r="K204" s="92"/>
    </row>
    <row r="205" spans="9:11" ht="15" x14ac:dyDescent="0.2">
      <c r="I205" s="88" t="s">
        <v>648</v>
      </c>
      <c r="J205" s="94"/>
      <c r="K205" s="92"/>
    </row>
    <row r="206" spans="9:11" ht="30" x14ac:dyDescent="0.2">
      <c r="I206" s="88" t="s">
        <v>246</v>
      </c>
      <c r="J206" s="94"/>
      <c r="K206" s="92"/>
    </row>
    <row r="207" spans="9:11" ht="45" x14ac:dyDescent="0.2">
      <c r="I207" s="88" t="s">
        <v>649</v>
      </c>
      <c r="J207" s="94"/>
      <c r="K207" s="92"/>
    </row>
    <row r="208" spans="9:11" ht="30" x14ac:dyDescent="0.2">
      <c r="I208" s="88" t="s">
        <v>650</v>
      </c>
      <c r="J208" s="94"/>
      <c r="K208" s="92"/>
    </row>
    <row r="209" spans="9:11" ht="30" x14ac:dyDescent="0.2">
      <c r="I209" s="88" t="s">
        <v>651</v>
      </c>
      <c r="J209" s="94"/>
      <c r="K209" s="92"/>
    </row>
    <row r="210" spans="9:11" ht="30" x14ac:dyDescent="0.2">
      <c r="I210" s="88" t="s">
        <v>652</v>
      </c>
      <c r="J210" s="94"/>
      <c r="K210" s="92"/>
    </row>
    <row r="211" spans="9:11" ht="15" x14ac:dyDescent="0.2">
      <c r="I211" s="88" t="s">
        <v>653</v>
      </c>
      <c r="J211" s="94"/>
      <c r="K211" s="92"/>
    </row>
    <row r="212" spans="9:11" ht="30" x14ac:dyDescent="0.2">
      <c r="I212" s="88" t="s">
        <v>654</v>
      </c>
      <c r="J212" s="94"/>
      <c r="K212" s="92"/>
    </row>
    <row r="213" spans="9:11" ht="45" x14ac:dyDescent="0.2">
      <c r="I213" s="88" t="s">
        <v>655</v>
      </c>
      <c r="J213" s="94"/>
      <c r="K213" s="92"/>
    </row>
    <row r="214" spans="9:11" ht="30" x14ac:dyDescent="0.2">
      <c r="I214" s="88" t="s">
        <v>656</v>
      </c>
      <c r="J214" s="94"/>
      <c r="K214" s="92"/>
    </row>
    <row r="215" spans="9:11" ht="30" x14ac:dyDescent="0.2">
      <c r="I215" s="88" t="s">
        <v>657</v>
      </c>
      <c r="J215" s="94"/>
      <c r="K215" s="92"/>
    </row>
    <row r="216" spans="9:11" ht="45" x14ac:dyDescent="0.2">
      <c r="I216" s="88" t="s">
        <v>658</v>
      </c>
      <c r="J216" s="94"/>
      <c r="K216" s="92"/>
    </row>
    <row r="217" spans="9:11" ht="45" x14ac:dyDescent="0.2">
      <c r="I217" s="88" t="s">
        <v>659</v>
      </c>
      <c r="J217" s="94"/>
      <c r="K217" s="92"/>
    </row>
    <row r="218" spans="9:11" ht="45" x14ac:dyDescent="0.2">
      <c r="I218" s="88" t="s">
        <v>660</v>
      </c>
      <c r="J218" s="94"/>
      <c r="K218" s="92"/>
    </row>
    <row r="219" spans="9:11" ht="45" x14ac:dyDescent="0.2">
      <c r="I219" s="88" t="s">
        <v>661</v>
      </c>
      <c r="J219" s="94"/>
      <c r="K219" s="92"/>
    </row>
    <row r="220" spans="9:11" ht="30" x14ac:dyDescent="0.2">
      <c r="I220" s="88" t="s">
        <v>249</v>
      </c>
      <c r="J220" s="94"/>
      <c r="K220" s="92"/>
    </row>
    <row r="221" spans="9:11" ht="45" x14ac:dyDescent="0.2">
      <c r="I221" s="88" t="s">
        <v>662</v>
      </c>
      <c r="J221" s="94"/>
      <c r="K221" s="92"/>
    </row>
    <row r="222" spans="9:11" ht="30" x14ac:dyDescent="0.2">
      <c r="I222" s="88" t="s">
        <v>663</v>
      </c>
      <c r="J222" s="94"/>
      <c r="K222" s="92"/>
    </row>
    <row r="223" spans="9:11" ht="30" x14ac:dyDescent="0.2">
      <c r="I223" s="88" t="s">
        <v>664</v>
      </c>
      <c r="J223" s="94"/>
      <c r="K223" s="92"/>
    </row>
    <row r="224" spans="9:11" ht="45" x14ac:dyDescent="0.2">
      <c r="I224" s="88" t="s">
        <v>252</v>
      </c>
      <c r="J224" s="94"/>
      <c r="K224" s="92"/>
    </row>
    <row r="225" spans="9:11" ht="30" x14ac:dyDescent="0.2">
      <c r="I225" s="88" t="s">
        <v>665</v>
      </c>
      <c r="J225" s="94"/>
      <c r="K225" s="92"/>
    </row>
    <row r="226" spans="9:11" ht="30" x14ac:dyDescent="0.2">
      <c r="I226" s="88" t="s">
        <v>666</v>
      </c>
      <c r="J226" s="94"/>
      <c r="K226" s="92"/>
    </row>
    <row r="227" spans="9:11" ht="45" x14ac:dyDescent="0.2">
      <c r="I227" s="88" t="s">
        <v>667</v>
      </c>
      <c r="J227" s="94"/>
      <c r="K227" s="92"/>
    </row>
    <row r="228" spans="9:11" ht="15" x14ac:dyDescent="0.2">
      <c r="I228" s="88" t="s">
        <v>668</v>
      </c>
      <c r="J228" s="94"/>
      <c r="K228" s="92"/>
    </row>
    <row r="229" spans="9:11" ht="15" x14ac:dyDescent="0.2">
      <c r="I229" s="88" t="s">
        <v>669</v>
      </c>
      <c r="J229" s="94"/>
      <c r="K229" s="92"/>
    </row>
    <row r="230" spans="9:11" ht="30" x14ac:dyDescent="0.2">
      <c r="I230" s="88" t="s">
        <v>670</v>
      </c>
      <c r="J230" s="94"/>
      <c r="K230" s="92"/>
    </row>
    <row r="231" spans="9:11" ht="15" x14ac:dyDescent="0.2">
      <c r="I231" s="88" t="s">
        <v>671</v>
      </c>
      <c r="J231" s="94"/>
      <c r="K231" s="92"/>
    </row>
    <row r="232" spans="9:11" ht="15" x14ac:dyDescent="0.2">
      <c r="I232" s="88" t="s">
        <v>255</v>
      </c>
      <c r="J232" s="94"/>
      <c r="K232" s="92"/>
    </row>
    <row r="233" spans="9:11" ht="15" x14ac:dyDescent="0.2">
      <c r="I233" s="88" t="s">
        <v>672</v>
      </c>
      <c r="J233" s="94"/>
      <c r="K233" s="92"/>
    </row>
    <row r="234" spans="9:11" ht="30" x14ac:dyDescent="0.2">
      <c r="I234" s="88" t="s">
        <v>673</v>
      </c>
      <c r="J234" s="94"/>
      <c r="K234" s="92"/>
    </row>
    <row r="235" spans="9:11" ht="30" x14ac:dyDescent="0.2">
      <c r="I235" s="88" t="s">
        <v>674</v>
      </c>
      <c r="J235" s="94"/>
      <c r="K235" s="92"/>
    </row>
    <row r="236" spans="9:11" ht="30" x14ac:dyDescent="0.2">
      <c r="I236" s="88" t="s">
        <v>675</v>
      </c>
      <c r="J236" s="94"/>
      <c r="K236" s="92"/>
    </row>
    <row r="237" spans="9:11" ht="30" x14ac:dyDescent="0.2">
      <c r="I237" s="88" t="s">
        <v>676</v>
      </c>
      <c r="J237" s="94"/>
      <c r="K237" s="92"/>
    </row>
    <row r="238" spans="9:11" ht="15" x14ac:dyDescent="0.2">
      <c r="I238" s="88" t="s">
        <v>677</v>
      </c>
      <c r="J238" s="94"/>
      <c r="K238" s="92"/>
    </row>
    <row r="239" spans="9:11" ht="15" x14ac:dyDescent="0.2">
      <c r="I239" s="88" t="s">
        <v>258</v>
      </c>
      <c r="J239" s="94"/>
      <c r="K239" s="92"/>
    </row>
    <row r="240" spans="9:11" ht="15" x14ac:dyDescent="0.2">
      <c r="I240" s="88" t="s">
        <v>678</v>
      </c>
      <c r="J240" s="94"/>
      <c r="K240" s="92"/>
    </row>
    <row r="241" spans="9:11" ht="15" x14ac:dyDescent="0.2">
      <c r="I241" s="88" t="s">
        <v>679</v>
      </c>
      <c r="J241" s="94"/>
      <c r="K241" s="92"/>
    </row>
    <row r="242" spans="9:11" ht="15" x14ac:dyDescent="0.2">
      <c r="I242" s="88" t="s">
        <v>680</v>
      </c>
      <c r="J242" s="94"/>
      <c r="K242" s="92"/>
    </row>
    <row r="243" spans="9:11" ht="15" x14ac:dyDescent="0.2">
      <c r="I243" s="88" t="s">
        <v>681</v>
      </c>
      <c r="J243" s="94"/>
      <c r="K243" s="92"/>
    </row>
    <row r="244" spans="9:11" ht="15" x14ac:dyDescent="0.2">
      <c r="I244" s="88" t="s">
        <v>263</v>
      </c>
      <c r="J244" s="94"/>
      <c r="K244" s="92"/>
    </row>
    <row r="245" spans="9:11" ht="15" x14ac:dyDescent="0.2">
      <c r="I245" s="88" t="s">
        <v>260</v>
      </c>
      <c r="J245" s="94"/>
      <c r="K245" s="92"/>
    </row>
    <row r="246" spans="9:11" ht="15" x14ac:dyDescent="0.2">
      <c r="I246" s="88" t="s">
        <v>682</v>
      </c>
      <c r="J246" s="94"/>
      <c r="K246" s="92"/>
    </row>
    <row r="247" spans="9:11" ht="30" x14ac:dyDescent="0.2">
      <c r="I247" s="88" t="s">
        <v>683</v>
      </c>
      <c r="J247" s="94"/>
      <c r="K247" s="92"/>
    </row>
    <row r="248" spans="9:11" ht="15" x14ac:dyDescent="0.2">
      <c r="I248" s="88" t="s">
        <v>684</v>
      </c>
      <c r="J248" s="94"/>
      <c r="K248" s="92"/>
    </row>
    <row r="249" spans="9:11" ht="15" x14ac:dyDescent="0.2">
      <c r="I249" s="88" t="s">
        <v>266</v>
      </c>
      <c r="J249" s="94"/>
      <c r="K249" s="92"/>
    </row>
    <row r="250" spans="9:11" ht="30" x14ac:dyDescent="0.2">
      <c r="I250" s="88" t="s">
        <v>685</v>
      </c>
      <c r="J250" s="94"/>
      <c r="K250" s="92"/>
    </row>
    <row r="251" spans="9:11" ht="15" x14ac:dyDescent="0.2">
      <c r="I251" s="88" t="s">
        <v>686</v>
      </c>
      <c r="J251" s="94"/>
      <c r="K251" s="92"/>
    </row>
    <row r="252" spans="9:11" ht="15" x14ac:dyDescent="0.2">
      <c r="I252" s="88" t="s">
        <v>687</v>
      </c>
      <c r="J252" s="94"/>
      <c r="K252" s="92"/>
    </row>
    <row r="253" spans="9:11" ht="12.75" x14ac:dyDescent="0.2">
      <c r="I253" s="92"/>
      <c r="J253" s="92"/>
      <c r="K253" s="92"/>
    </row>
    <row r="254" spans="9:11" ht="12.75" x14ac:dyDescent="0.2">
      <c r="I254" s="92"/>
      <c r="J254" s="92"/>
      <c r="K254" s="92"/>
    </row>
  </sheetData>
  <mergeCells count="1">
    <mergeCell ref="A4:A5"/>
  </mergeCells>
  <hyperlinks>
    <hyperlink ref="A1" location="gid=0" display="https://docs.google.com/spreadsheets/d/1zwtmvbEVCGELYcqtI3O8G3JVCSb0rXTuxCizsqFeKmM/edit#gid=0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155CC"/>
    <outlinePr summaryBelow="0" summaryRight="0"/>
  </sheetPr>
  <dimension ref="A1:F129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9.42578125" customWidth="1"/>
    <col min="3" max="3" width="21" customWidth="1"/>
    <col min="4" max="4" width="20.7109375" customWidth="1"/>
  </cols>
  <sheetData>
    <row r="1" spans="1:6" x14ac:dyDescent="0.2">
      <c r="A1" s="74" t="s">
        <v>284</v>
      </c>
      <c r="B1" s="16" t="s">
        <v>688</v>
      </c>
      <c r="C1" s="16" t="s">
        <v>294</v>
      </c>
      <c r="D1" s="16" t="s">
        <v>689</v>
      </c>
      <c r="E1" s="16" t="s">
        <v>690</v>
      </c>
      <c r="F1" s="16" t="s">
        <v>691</v>
      </c>
    </row>
    <row r="2" spans="1:6" x14ac:dyDescent="0.2">
      <c r="A2" s="59" t="str">
        <f ca="1">IFERROR(__xludf.DUMMYFUNCTION("UNIQUE(FLATTEN(QUERY(APOIO!$E$2:$E$9203, ""SELECT E WHERE E LIKE '%.%'""),QUERY(APOIO!$F$2:$F$9203, ""SELECT F WHERE F LIKE '%.%'"")))"),"#REF!")</f>
        <v>#REF!</v>
      </c>
      <c r="B2" s="117">
        <v>44926</v>
      </c>
      <c r="C2" s="59">
        <f>APOIO!$B$2</f>
        <v>3262</v>
      </c>
      <c r="D2" s="33">
        <f ca="1">IFERROR(__xludf.DUMMYFUNCTION("SUM(
IFERROR(QUERY('Sintética 20222023'!A:I, CONCATENATE(""SELECT I WHERE A="", ""'"",$A2,""'"")),0),
IFERROR(QUERY('Sintética 20222023'!A:I, CONCATENATE(""SELECT H WHERE G="", ""'"",$A2,""'"")),0),
)"),0)</f>
        <v>0</v>
      </c>
      <c r="E2" s="85">
        <v>2022</v>
      </c>
      <c r="F2" s="85">
        <v>12</v>
      </c>
    </row>
    <row r="3" spans="1:6" x14ac:dyDescent="0.2">
      <c r="A3" s="59"/>
      <c r="B3" s="117">
        <v>44926</v>
      </c>
      <c r="C3" s="59">
        <f>APOIO!$B$2</f>
        <v>3262</v>
      </c>
      <c r="D3" s="33">
        <f ca="1">IFERROR(__xludf.DUMMYFUNCTION("SUM(
IFERROR(QUERY('Sintética 20222023'!A:I, CONCATENATE(""SELECT I WHERE A="", ""'"",$A3,""'"")),0),
IFERROR(QUERY('Sintética 20222023'!A:I, CONCATENATE(""SELECT H WHERE G="", ""'"",$A3,""'"")),0),
)"),0)</f>
        <v>0</v>
      </c>
      <c r="E3" s="85">
        <v>2022</v>
      </c>
      <c r="F3" s="85">
        <v>12</v>
      </c>
    </row>
    <row r="4" spans="1:6" x14ac:dyDescent="0.2">
      <c r="A4" s="59"/>
      <c r="B4" s="117">
        <v>44926</v>
      </c>
      <c r="C4" s="59">
        <f>APOIO!$B$2</f>
        <v>3262</v>
      </c>
      <c r="D4" s="33">
        <f ca="1">IFERROR(__xludf.DUMMYFUNCTION("SUM(
IFERROR(QUERY('Sintética 20222023'!A:I, CONCATENATE(""SELECT I WHERE A="", ""'"",$A4,""'"")),0),
IFERROR(QUERY('Sintética 20222023'!A:I, CONCATENATE(""SELECT H WHERE G="", ""'"",$A4,""'"")),0),
)"),0)</f>
        <v>0</v>
      </c>
      <c r="E4" s="85">
        <v>2022</v>
      </c>
      <c r="F4" s="85">
        <v>12</v>
      </c>
    </row>
    <row r="5" spans="1:6" x14ac:dyDescent="0.2">
      <c r="A5" s="59"/>
      <c r="B5" s="117">
        <v>44926</v>
      </c>
      <c r="C5" s="59">
        <f>APOIO!$B$2</f>
        <v>3262</v>
      </c>
      <c r="D5" s="33">
        <f ca="1">IFERROR(__xludf.DUMMYFUNCTION("SUM(
IFERROR(QUERY('Sintética 20222023'!A:I, CONCATENATE(""SELECT I WHERE A="", ""'"",$A5,""'"")),0),
IFERROR(QUERY('Sintética 20222023'!A:I, CONCATENATE(""SELECT H WHERE G="", ""'"",$A5,""'"")),0),
)"),0)</f>
        <v>0</v>
      </c>
      <c r="E5" s="85">
        <v>2022</v>
      </c>
      <c r="F5" s="85">
        <v>12</v>
      </c>
    </row>
    <row r="6" spans="1:6" x14ac:dyDescent="0.2">
      <c r="A6" s="59"/>
      <c r="B6" s="117">
        <v>44926</v>
      </c>
      <c r="C6" s="59">
        <f>APOIO!$B$2</f>
        <v>3262</v>
      </c>
      <c r="D6" s="33">
        <f ca="1">IFERROR(__xludf.DUMMYFUNCTION("SUM(
IFERROR(QUERY('Sintética 20222023'!A:I, CONCATENATE(""SELECT I WHERE A="", ""'"",$A6,""'"")),0),
IFERROR(QUERY('Sintética 20222023'!A:I, CONCATENATE(""SELECT H WHERE G="", ""'"",$A6,""'"")),0),
)"),0)</f>
        <v>0</v>
      </c>
      <c r="E6" s="85">
        <v>2022</v>
      </c>
      <c r="F6" s="85">
        <v>12</v>
      </c>
    </row>
    <row r="7" spans="1:6" x14ac:dyDescent="0.2">
      <c r="A7" s="59"/>
      <c r="B7" s="117">
        <v>44926</v>
      </c>
      <c r="C7" s="59">
        <f>APOIO!$B$2</f>
        <v>3262</v>
      </c>
      <c r="D7" s="33">
        <f ca="1">IFERROR(__xludf.DUMMYFUNCTION("SUM(
IFERROR(QUERY('Sintética 20222023'!A:I, CONCATENATE(""SELECT I WHERE A="", ""'"",$A7,""'"")),0),
IFERROR(QUERY('Sintética 20222023'!A:I, CONCATENATE(""SELECT H WHERE G="", ""'"",$A7,""'"")),0),
)"),0)</f>
        <v>0</v>
      </c>
      <c r="E7" s="85">
        <v>2022</v>
      </c>
      <c r="F7" s="85">
        <v>12</v>
      </c>
    </row>
    <row r="8" spans="1:6" x14ac:dyDescent="0.2">
      <c r="A8" s="59"/>
      <c r="B8" s="117">
        <v>44926</v>
      </c>
      <c r="C8" s="59">
        <f>APOIO!$B$2</f>
        <v>3262</v>
      </c>
      <c r="D8" s="33">
        <f ca="1">IFERROR(__xludf.DUMMYFUNCTION("SUM(
IFERROR(QUERY('Sintética 20222023'!A:I, CONCATENATE(""SELECT I WHERE A="", ""'"",$A8,""'"")),0),
IFERROR(QUERY('Sintética 20222023'!A:I, CONCATENATE(""SELECT H WHERE G="", ""'"",$A8,""'"")),0),
)"),0)</f>
        <v>0</v>
      </c>
      <c r="E8" s="85">
        <v>2022</v>
      </c>
      <c r="F8" s="85">
        <v>12</v>
      </c>
    </row>
    <row r="9" spans="1:6" x14ac:dyDescent="0.2">
      <c r="A9" s="59"/>
      <c r="B9" s="117">
        <v>44926</v>
      </c>
      <c r="C9" s="59">
        <f>APOIO!$B$2</f>
        <v>3262</v>
      </c>
      <c r="D9" s="33">
        <f ca="1">IFERROR(__xludf.DUMMYFUNCTION("SUM(
IFERROR(QUERY('Sintética 20222023'!A:I, CONCATENATE(""SELECT I WHERE A="", ""'"",$A9,""'"")),0),
IFERROR(QUERY('Sintética 20222023'!A:I, CONCATENATE(""SELECT H WHERE G="", ""'"",$A9,""'"")),0),
)"),0)</f>
        <v>0</v>
      </c>
      <c r="E9" s="85">
        <v>2022</v>
      </c>
      <c r="F9" s="85">
        <v>12</v>
      </c>
    </row>
    <row r="10" spans="1:6" x14ac:dyDescent="0.2">
      <c r="A10" s="59"/>
      <c r="B10" s="117">
        <v>44926</v>
      </c>
      <c r="C10" s="59">
        <f>APOIO!$B$2</f>
        <v>3262</v>
      </c>
      <c r="D10" s="33">
        <f ca="1">IFERROR(__xludf.DUMMYFUNCTION("SUM(
IFERROR(QUERY('Sintética 20222023'!A:I, CONCATENATE(""SELECT I WHERE A="", ""'"",$A10,""'"")),0),
IFERROR(QUERY('Sintética 20222023'!A:I, CONCATENATE(""SELECT H WHERE G="", ""'"",$A10,""'"")),0),
)"),0)</f>
        <v>0</v>
      </c>
      <c r="E10" s="85">
        <v>2022</v>
      </c>
      <c r="F10" s="85">
        <v>12</v>
      </c>
    </row>
    <row r="11" spans="1:6" x14ac:dyDescent="0.2">
      <c r="A11" s="59"/>
      <c r="B11" s="117">
        <v>44926</v>
      </c>
      <c r="C11" s="59">
        <f>APOIO!$B$2</f>
        <v>3262</v>
      </c>
      <c r="D11" s="33">
        <f ca="1">IFERROR(__xludf.DUMMYFUNCTION("SUM(
IFERROR(QUERY('Sintética 20222023'!A:I, CONCATENATE(""SELECT I WHERE A="", ""'"",$A11,""'"")),0),
IFERROR(QUERY('Sintética 20222023'!A:I, CONCATENATE(""SELECT H WHERE G="", ""'"",$A11,""'"")),0),
)"),0)</f>
        <v>0</v>
      </c>
      <c r="E11" s="85">
        <v>2022</v>
      </c>
      <c r="F11" s="85">
        <v>12</v>
      </c>
    </row>
    <row r="12" spans="1:6" x14ac:dyDescent="0.2">
      <c r="A12" s="59"/>
      <c r="B12" s="117">
        <v>44926</v>
      </c>
      <c r="C12" s="59">
        <f>APOIO!$B$2</f>
        <v>3262</v>
      </c>
      <c r="D12" s="33">
        <f ca="1">IFERROR(__xludf.DUMMYFUNCTION("SUM(
IFERROR(QUERY('Sintética 20222023'!A:I, CONCATENATE(""SELECT I WHERE A="", ""'"",$A12,""'"")),0),
IFERROR(QUERY('Sintética 20222023'!A:I, CONCATENATE(""SELECT H WHERE G="", ""'"",$A12,""'"")),0),
)"),0)</f>
        <v>0</v>
      </c>
      <c r="E12" s="85">
        <v>2022</v>
      </c>
      <c r="F12" s="85">
        <v>12</v>
      </c>
    </row>
    <row r="13" spans="1:6" x14ac:dyDescent="0.2">
      <c r="A13" s="59"/>
      <c r="B13" s="117">
        <v>44926</v>
      </c>
      <c r="C13" s="59">
        <f>APOIO!$B$2</f>
        <v>3262</v>
      </c>
      <c r="D13" s="33">
        <f ca="1">IFERROR(__xludf.DUMMYFUNCTION("SUM(
IFERROR(QUERY('Sintética 20222023'!A:I, CONCATENATE(""SELECT I WHERE A="", ""'"",$A13,""'"")),0),
IFERROR(QUERY('Sintética 20222023'!A:I, CONCATENATE(""SELECT H WHERE G="", ""'"",$A13,""'"")),0),
)"),0)</f>
        <v>0</v>
      </c>
      <c r="E13" s="85">
        <v>2022</v>
      </c>
      <c r="F13" s="85">
        <v>12</v>
      </c>
    </row>
    <row r="14" spans="1:6" x14ac:dyDescent="0.2">
      <c r="A14" s="59"/>
      <c r="B14" s="117">
        <v>44926</v>
      </c>
      <c r="C14" s="59">
        <f>APOIO!$B$2</f>
        <v>3262</v>
      </c>
      <c r="D14" s="33">
        <f ca="1">IFERROR(__xludf.DUMMYFUNCTION("SUM(
IFERROR(QUERY('Sintética 20222023'!A:I, CONCATENATE(""SELECT I WHERE A="", ""'"",$A14,""'"")),0),
IFERROR(QUERY('Sintética 20222023'!A:I, CONCATENATE(""SELECT H WHERE G="", ""'"",$A14,""'"")),0),
)"),0)</f>
        <v>0</v>
      </c>
      <c r="E14" s="85">
        <v>2022</v>
      </c>
      <c r="F14" s="85">
        <v>12</v>
      </c>
    </row>
    <row r="15" spans="1:6" x14ac:dyDescent="0.2">
      <c r="A15" s="59"/>
      <c r="B15" s="117">
        <v>44926</v>
      </c>
      <c r="C15" s="59">
        <f>APOIO!$B$2</f>
        <v>3262</v>
      </c>
      <c r="D15" s="33">
        <f ca="1">IFERROR(__xludf.DUMMYFUNCTION("SUM(
IFERROR(QUERY('Sintética 20222023'!A:I, CONCATENATE(""SELECT I WHERE A="", ""'"",$A15,""'"")),0),
IFERROR(QUERY('Sintética 20222023'!A:I, CONCATENATE(""SELECT H WHERE G="", ""'"",$A15,""'"")),0),
)"),0)</f>
        <v>0</v>
      </c>
      <c r="E15" s="85">
        <v>2022</v>
      </c>
      <c r="F15" s="85">
        <v>12</v>
      </c>
    </row>
    <row r="16" spans="1:6" x14ac:dyDescent="0.2">
      <c r="A16" s="59"/>
      <c r="B16" s="117">
        <v>44926</v>
      </c>
      <c r="C16" s="59">
        <f>APOIO!$B$2</f>
        <v>3262</v>
      </c>
      <c r="D16" s="33">
        <f ca="1">IFERROR(__xludf.DUMMYFUNCTION("SUM(
IFERROR(QUERY('Sintética 20222023'!A:I, CONCATENATE(""SELECT I WHERE A="", ""'"",$A16,""'"")),0),
IFERROR(QUERY('Sintética 20222023'!A:I, CONCATENATE(""SELECT H WHERE G="", ""'"",$A16,""'"")),0),
)"),0)</f>
        <v>0</v>
      </c>
      <c r="E16" s="85">
        <v>2022</v>
      </c>
      <c r="F16" s="85">
        <v>12</v>
      </c>
    </row>
    <row r="17" spans="1:6" x14ac:dyDescent="0.2">
      <c r="A17" s="59"/>
      <c r="B17" s="117">
        <v>44926</v>
      </c>
      <c r="C17" s="59">
        <f>APOIO!$B$2</f>
        <v>3262</v>
      </c>
      <c r="D17" s="33">
        <f ca="1">IFERROR(__xludf.DUMMYFUNCTION("SUM(
IFERROR(QUERY('Sintética 20222023'!A:I, CONCATENATE(""SELECT I WHERE A="", ""'"",$A17,""'"")),0),
IFERROR(QUERY('Sintética 20222023'!A:I, CONCATENATE(""SELECT H WHERE G="", ""'"",$A17,""'"")),0),
)"),0)</f>
        <v>0</v>
      </c>
      <c r="E17" s="85">
        <v>2022</v>
      </c>
      <c r="F17" s="85">
        <v>12</v>
      </c>
    </row>
    <row r="18" spans="1:6" x14ac:dyDescent="0.2">
      <c r="A18" s="118"/>
      <c r="B18" s="117">
        <v>44926</v>
      </c>
      <c r="C18" s="59">
        <f>APOIO!$B$2</f>
        <v>3262</v>
      </c>
      <c r="D18" s="33">
        <f ca="1">IFERROR(__xludf.DUMMYFUNCTION("SUM(
IFERROR(QUERY('Sintética 20222023'!A:I, CONCATENATE(""SELECT I WHERE A="", ""'"",$A18,""'"")),0),
IFERROR(QUERY('Sintética 20222023'!A:I, CONCATENATE(""SELECT H WHERE G="", ""'"",$A18,""'"")),0),
)"),0)</f>
        <v>0</v>
      </c>
      <c r="E18" s="85">
        <v>2022</v>
      </c>
      <c r="F18" s="85">
        <v>12</v>
      </c>
    </row>
    <row r="19" spans="1:6" x14ac:dyDescent="0.2">
      <c r="A19" s="59"/>
      <c r="B19" s="117">
        <v>44926</v>
      </c>
      <c r="C19" s="59">
        <f>APOIO!$B$2</f>
        <v>3262</v>
      </c>
      <c r="D19" s="33">
        <f ca="1">IFERROR(__xludf.DUMMYFUNCTION("SUM(
IFERROR(QUERY('Sintética 20222023'!A:I, CONCATENATE(""SELECT I WHERE A="", ""'"",$A19,""'"")),0),
IFERROR(QUERY('Sintética 20222023'!A:I, CONCATENATE(""SELECT H WHERE G="", ""'"",$A19,""'"")),0),
)"),0)</f>
        <v>0</v>
      </c>
      <c r="E19" s="85">
        <v>2022</v>
      </c>
      <c r="F19" s="85">
        <v>12</v>
      </c>
    </row>
    <row r="20" spans="1:6" x14ac:dyDescent="0.2">
      <c r="A20" s="59"/>
      <c r="B20" s="117">
        <v>44926</v>
      </c>
      <c r="C20" s="59">
        <f>APOIO!$B$2</f>
        <v>3262</v>
      </c>
      <c r="D20" s="33">
        <f ca="1">IFERROR(__xludf.DUMMYFUNCTION("SUM(
IFERROR(QUERY('Sintética 20222023'!A:I, CONCATENATE(""SELECT I WHERE A="", ""'"",$A20,""'"")),0),
IFERROR(QUERY('Sintética 20222023'!A:I, CONCATENATE(""SELECT H WHERE G="", ""'"",$A20,""'"")),0),
)"),0)</f>
        <v>0</v>
      </c>
      <c r="E20" s="85">
        <v>2022</v>
      </c>
      <c r="F20" s="85">
        <v>12</v>
      </c>
    </row>
    <row r="21" spans="1:6" x14ac:dyDescent="0.2">
      <c r="A21" s="59"/>
      <c r="B21" s="117">
        <v>44926</v>
      </c>
      <c r="C21" s="59">
        <f>APOIO!$B$2</f>
        <v>3262</v>
      </c>
      <c r="D21" s="33">
        <f ca="1">IFERROR(__xludf.DUMMYFUNCTION("SUM(
IFERROR(QUERY('Sintética 20222023'!A:I, CONCATENATE(""SELECT I WHERE A="", ""'"",$A21,""'"")),0),
IFERROR(QUERY('Sintética 20222023'!A:I, CONCATENATE(""SELECT H WHERE G="", ""'"",$A21,""'"")),0),
)"),0)</f>
        <v>0</v>
      </c>
      <c r="E21" s="85">
        <v>2022</v>
      </c>
      <c r="F21" s="85">
        <v>12</v>
      </c>
    </row>
    <row r="22" spans="1:6" x14ac:dyDescent="0.2">
      <c r="A22" s="59"/>
      <c r="B22" s="117">
        <v>44926</v>
      </c>
      <c r="C22" s="59">
        <f>APOIO!$B$2</f>
        <v>3262</v>
      </c>
      <c r="D22" s="33">
        <f ca="1">IFERROR(__xludf.DUMMYFUNCTION("SUM(
IFERROR(QUERY('Sintética 20222023'!A:I, CONCATENATE(""SELECT I WHERE A="", ""'"",$A22,""'"")),0),
IFERROR(QUERY('Sintética 20222023'!A:I, CONCATENATE(""SELECT H WHERE G="", ""'"",$A22,""'"")),0),
)"),0)</f>
        <v>0</v>
      </c>
      <c r="E22" s="85">
        <v>2022</v>
      </c>
      <c r="F22" s="85">
        <v>12</v>
      </c>
    </row>
    <row r="23" spans="1:6" x14ac:dyDescent="0.2">
      <c r="A23" s="59"/>
      <c r="B23" s="117">
        <v>44926</v>
      </c>
      <c r="C23" s="59">
        <f>APOIO!$B$2</f>
        <v>3262</v>
      </c>
      <c r="D23" s="33">
        <f ca="1">IFERROR(__xludf.DUMMYFUNCTION("SUM(
IFERROR(QUERY('Sintética 20222023'!A:I, CONCATENATE(""SELECT I WHERE A="", ""'"",$A23,""'"")),0),
IFERROR(QUERY('Sintética 20222023'!A:I, CONCATENATE(""SELECT H WHERE G="", ""'"",$A23,""'"")),0),
)"),0)</f>
        <v>0</v>
      </c>
      <c r="E23" s="85">
        <v>2022</v>
      </c>
      <c r="F23" s="85">
        <v>12</v>
      </c>
    </row>
    <row r="24" spans="1:6" x14ac:dyDescent="0.2">
      <c r="A24" s="59"/>
      <c r="B24" s="117">
        <v>44926</v>
      </c>
      <c r="C24" s="59">
        <f>APOIO!$B$2</f>
        <v>3262</v>
      </c>
      <c r="D24" s="33">
        <f ca="1">IFERROR(__xludf.DUMMYFUNCTION("SUM(
IFERROR(QUERY('Sintética 20222023'!A:I, CONCATENATE(""SELECT I WHERE A="", ""'"",$A24,""'"")),0),
IFERROR(QUERY('Sintética 20222023'!A:I, CONCATENATE(""SELECT H WHERE G="", ""'"",$A24,""'"")),0),
)"),0)</f>
        <v>0</v>
      </c>
      <c r="E24" s="85">
        <v>2022</v>
      </c>
      <c r="F24" s="85">
        <v>12</v>
      </c>
    </row>
    <row r="25" spans="1:6" x14ac:dyDescent="0.2">
      <c r="A25" s="59"/>
      <c r="B25" s="117">
        <v>44926</v>
      </c>
      <c r="C25" s="59">
        <f>APOIO!$B$2</f>
        <v>3262</v>
      </c>
      <c r="D25" s="33">
        <f ca="1">IFERROR(__xludf.DUMMYFUNCTION("SUM(
IFERROR(QUERY('Sintética 20222023'!A:I, CONCATENATE(""SELECT I WHERE A="", ""'"",$A25,""'"")),0),
IFERROR(QUERY('Sintética 20222023'!A:I, CONCATENATE(""SELECT H WHERE G="", ""'"",$A25,""'"")),0),
)"),0)</f>
        <v>0</v>
      </c>
      <c r="E25" s="85">
        <v>2022</v>
      </c>
      <c r="F25" s="85">
        <v>12</v>
      </c>
    </row>
    <row r="26" spans="1:6" x14ac:dyDescent="0.2">
      <c r="A26" s="59"/>
      <c r="B26" s="117">
        <v>44926</v>
      </c>
      <c r="C26" s="59">
        <f>APOIO!$B$2</f>
        <v>3262</v>
      </c>
      <c r="D26" s="33">
        <f ca="1">IFERROR(__xludf.DUMMYFUNCTION("SUM(
IFERROR(QUERY('Sintética 20222023'!A:I, CONCATENATE(""SELECT I WHERE A="", ""'"",$A26,""'"")),0),
IFERROR(QUERY('Sintética 20222023'!A:I, CONCATENATE(""SELECT H WHERE G="", ""'"",$A26,""'"")),0),
)"),0)</f>
        <v>0</v>
      </c>
      <c r="E26" s="85">
        <v>2022</v>
      </c>
      <c r="F26" s="85">
        <v>12</v>
      </c>
    </row>
    <row r="27" spans="1:6" x14ac:dyDescent="0.2">
      <c r="A27" s="59"/>
      <c r="B27" s="117">
        <v>44926</v>
      </c>
      <c r="C27" s="59">
        <f>APOIO!$B$2</f>
        <v>3262</v>
      </c>
      <c r="D27" s="33">
        <f ca="1">IFERROR(__xludf.DUMMYFUNCTION("SUM(
IFERROR(QUERY('Sintética 20222023'!A:I, CONCATENATE(""SELECT I WHERE A="", ""'"",$A27,""'"")),0),
IFERROR(QUERY('Sintética 20222023'!A:I, CONCATENATE(""SELECT H WHERE G="", ""'"",$A27,""'"")),0),
)"),0)</f>
        <v>0</v>
      </c>
      <c r="E27" s="85">
        <v>2022</v>
      </c>
      <c r="F27" s="85">
        <v>12</v>
      </c>
    </row>
    <row r="28" spans="1:6" x14ac:dyDescent="0.2">
      <c r="A28" s="59"/>
      <c r="B28" s="117">
        <v>44926</v>
      </c>
      <c r="C28" s="59">
        <f>APOIO!$B$2</f>
        <v>3262</v>
      </c>
      <c r="D28" s="33">
        <f ca="1">IFERROR(__xludf.DUMMYFUNCTION("SUM(
IFERROR(QUERY('Sintética 20222023'!A:I, CONCATENATE(""SELECT I WHERE A="", ""'"",$A28,""'"")),0),
IFERROR(QUERY('Sintética 20222023'!A:I, CONCATENATE(""SELECT H WHERE G="", ""'"",$A28,""'"")),0),
)"),0)</f>
        <v>0</v>
      </c>
      <c r="E28" s="85">
        <v>2022</v>
      </c>
      <c r="F28" s="85">
        <v>12</v>
      </c>
    </row>
    <row r="29" spans="1:6" x14ac:dyDescent="0.2">
      <c r="A29" s="59"/>
      <c r="B29" s="117">
        <v>44926</v>
      </c>
      <c r="C29" s="59">
        <f>APOIO!$B$2</f>
        <v>3262</v>
      </c>
      <c r="D29" s="33">
        <f ca="1">IFERROR(__xludf.DUMMYFUNCTION("SUM(
IFERROR(QUERY('Sintética 20222023'!A:I, CONCATENATE(""SELECT I WHERE A="", ""'"",$A29,""'"")),0),
IFERROR(QUERY('Sintética 20222023'!A:I, CONCATENATE(""SELECT H WHERE G="", ""'"",$A29,""'"")),0),
)"),0)</f>
        <v>0</v>
      </c>
      <c r="E29" s="85">
        <v>2022</v>
      </c>
      <c r="F29" s="85">
        <v>12</v>
      </c>
    </row>
    <row r="30" spans="1:6" x14ac:dyDescent="0.2">
      <c r="A30" s="59"/>
      <c r="B30" s="117">
        <v>44926</v>
      </c>
      <c r="C30" s="59">
        <f>APOIO!$B$2</f>
        <v>3262</v>
      </c>
      <c r="D30" s="33">
        <f ca="1">IFERROR(__xludf.DUMMYFUNCTION("SUM(
IFERROR(QUERY('Sintética 20222023'!A:I, CONCATENATE(""SELECT I WHERE A="", ""'"",$A30,""'"")),0),
IFERROR(QUERY('Sintética 20222023'!A:I, CONCATENATE(""SELECT H WHERE G="", ""'"",$A30,""'"")),0),
)"),0)</f>
        <v>0</v>
      </c>
      <c r="E30" s="85">
        <v>2022</v>
      </c>
      <c r="F30" s="85">
        <v>12</v>
      </c>
    </row>
    <row r="31" spans="1:6" x14ac:dyDescent="0.2">
      <c r="A31" s="59"/>
      <c r="B31" s="117">
        <v>44926</v>
      </c>
      <c r="C31" s="59">
        <f>APOIO!$B$2</f>
        <v>3262</v>
      </c>
      <c r="D31" s="33">
        <f ca="1">IFERROR(__xludf.DUMMYFUNCTION("SUM(
IFERROR(QUERY('Sintética 20222023'!A:I, CONCATENATE(""SELECT I WHERE A="", ""'"",$A31,""'"")),0),
IFERROR(QUERY('Sintética 20222023'!A:I, CONCATENATE(""SELECT H WHERE G="", ""'"",$A31,""'"")),0),
)"),0)</f>
        <v>0</v>
      </c>
      <c r="E31" s="85">
        <v>2022</v>
      </c>
      <c r="F31" s="85">
        <v>12</v>
      </c>
    </row>
    <row r="32" spans="1:6" x14ac:dyDescent="0.2">
      <c r="A32" s="59"/>
      <c r="B32" s="117">
        <v>44926</v>
      </c>
      <c r="C32" s="59">
        <f>APOIO!$B$2</f>
        <v>3262</v>
      </c>
      <c r="D32" s="33">
        <f ca="1">IFERROR(__xludf.DUMMYFUNCTION("SUM(
IFERROR(QUERY('Sintética 20222023'!A:I, CONCATENATE(""SELECT I WHERE A="", ""'"",$A32,""'"")),0),
IFERROR(QUERY('Sintética 20222023'!A:I, CONCATENATE(""SELECT H WHERE G="", ""'"",$A32,""'"")),0),
)"),0)</f>
        <v>0</v>
      </c>
      <c r="E32" s="85">
        <v>2022</v>
      </c>
      <c r="F32" s="85">
        <v>12</v>
      </c>
    </row>
    <row r="33" spans="1:6" x14ac:dyDescent="0.2">
      <c r="A33" s="59"/>
      <c r="B33" s="117">
        <v>44926</v>
      </c>
      <c r="C33" s="59">
        <f>APOIO!$B$2</f>
        <v>3262</v>
      </c>
      <c r="D33" s="33">
        <f ca="1">IFERROR(__xludf.DUMMYFUNCTION("SUM(
IFERROR(QUERY('Sintética 20222023'!A:I, CONCATENATE(""SELECT I WHERE A="", ""'"",$A33,""'"")),0),
IFERROR(QUERY('Sintética 20222023'!A:I, CONCATENATE(""SELECT H WHERE G="", ""'"",$A33,""'"")),0),
)"),0)</f>
        <v>0</v>
      </c>
      <c r="E33" s="85">
        <v>2022</v>
      </c>
      <c r="F33" s="85">
        <v>12</v>
      </c>
    </row>
    <row r="34" spans="1:6" x14ac:dyDescent="0.2">
      <c r="A34" s="59"/>
      <c r="B34" s="117">
        <v>44926</v>
      </c>
      <c r="C34" s="59">
        <f>APOIO!$B$2</f>
        <v>3262</v>
      </c>
      <c r="D34" s="33">
        <f ca="1">IFERROR(__xludf.DUMMYFUNCTION("SUM(
IFERROR(QUERY('Sintética 20222023'!A:I, CONCATENATE(""SELECT I WHERE A="", ""'"",$A34,""'"")),0),
IFERROR(QUERY('Sintética 20222023'!A:I, CONCATENATE(""SELECT H WHERE G="", ""'"",$A34,""'"")),0),
)"),0)</f>
        <v>0</v>
      </c>
      <c r="E34" s="85">
        <v>2022</v>
      </c>
      <c r="F34" s="85">
        <v>12</v>
      </c>
    </row>
    <row r="35" spans="1:6" x14ac:dyDescent="0.2">
      <c r="A35" s="59"/>
      <c r="B35" s="117">
        <v>44926</v>
      </c>
      <c r="C35" s="59">
        <f>APOIO!$B$2</f>
        <v>3262</v>
      </c>
      <c r="D35" s="33">
        <f ca="1">IFERROR(__xludf.DUMMYFUNCTION("SUM(
IFERROR(QUERY('Sintética 20222023'!A:I, CONCATENATE(""SELECT I WHERE A="", ""'"",$A35,""'"")),0),
IFERROR(QUERY('Sintética 20222023'!A:I, CONCATENATE(""SELECT H WHERE G="", ""'"",$A35,""'"")),0),
)"),0)</f>
        <v>0</v>
      </c>
      <c r="E35" s="85">
        <v>2022</v>
      </c>
      <c r="F35" s="85">
        <v>12</v>
      </c>
    </row>
    <row r="36" spans="1:6" x14ac:dyDescent="0.2">
      <c r="A36" s="59"/>
      <c r="B36" s="117">
        <v>44926</v>
      </c>
      <c r="C36" s="59">
        <f>APOIO!$B$2</f>
        <v>3262</v>
      </c>
      <c r="D36" s="33">
        <f ca="1">IFERROR(__xludf.DUMMYFUNCTION("SUM(
IFERROR(QUERY('Sintética 20222023'!A:I, CONCATENATE(""SELECT I WHERE A="", ""'"",$A36,""'"")),0),
IFERROR(QUERY('Sintética 20222023'!A:I, CONCATENATE(""SELECT H WHERE G="", ""'"",$A36,""'"")),0),
)"),0)</f>
        <v>0</v>
      </c>
      <c r="E36" s="85">
        <v>2022</v>
      </c>
      <c r="F36" s="85">
        <v>12</v>
      </c>
    </row>
    <row r="37" spans="1:6" x14ac:dyDescent="0.2">
      <c r="A37" s="59"/>
      <c r="B37" s="117">
        <v>44926</v>
      </c>
      <c r="C37" s="59">
        <f>APOIO!$B$2</f>
        <v>3262</v>
      </c>
      <c r="D37" s="33">
        <f ca="1">IFERROR(__xludf.DUMMYFUNCTION("SUM(
IFERROR(QUERY('Sintética 20222023'!A:I, CONCATENATE(""SELECT I WHERE A="", ""'"",$A37,""'"")),0),
IFERROR(QUERY('Sintética 20222023'!A:I, CONCATENATE(""SELECT H WHERE G="", ""'"",$A37,""'"")),0),
)"),0)</f>
        <v>0</v>
      </c>
      <c r="E37" s="85">
        <v>2022</v>
      </c>
      <c r="F37" s="85">
        <v>12</v>
      </c>
    </row>
    <row r="38" spans="1:6" x14ac:dyDescent="0.2">
      <c r="A38" s="59"/>
      <c r="B38" s="117">
        <v>44926</v>
      </c>
      <c r="C38" s="59">
        <f>APOIO!$B$2</f>
        <v>3262</v>
      </c>
      <c r="D38" s="33">
        <f ca="1">IFERROR(__xludf.DUMMYFUNCTION("SUM(
IFERROR(QUERY('Sintética 20222023'!A:I, CONCATENATE(""SELECT I WHERE A="", ""'"",$A38,""'"")),0),
IFERROR(QUERY('Sintética 20222023'!A:I, CONCATENATE(""SELECT H WHERE G="", ""'"",$A38,""'"")),0),
)"),0)</f>
        <v>0</v>
      </c>
      <c r="E38" s="85">
        <v>2022</v>
      </c>
      <c r="F38" s="85">
        <v>12</v>
      </c>
    </row>
    <row r="39" spans="1:6" x14ac:dyDescent="0.2">
      <c r="A39" s="59"/>
      <c r="B39" s="117">
        <v>44926</v>
      </c>
      <c r="C39" s="59">
        <f>APOIO!$B$2</f>
        <v>3262</v>
      </c>
      <c r="D39" s="33">
        <f ca="1">IFERROR(__xludf.DUMMYFUNCTION("SUM(
IFERROR(QUERY('Sintética 20222023'!A:I, CONCATENATE(""SELECT I WHERE A="", ""'"",$A39,""'"")),0),
IFERROR(QUERY('Sintética 20222023'!A:I, CONCATENATE(""SELECT H WHERE G="", ""'"",$A39,""'"")),0),
)"),0)</f>
        <v>0</v>
      </c>
      <c r="E39" s="85">
        <v>2022</v>
      </c>
      <c r="F39" s="85">
        <v>12</v>
      </c>
    </row>
    <row r="40" spans="1:6" x14ac:dyDescent="0.2">
      <c r="A40" s="59"/>
      <c r="B40" s="117">
        <v>44926</v>
      </c>
      <c r="C40" s="59">
        <f>APOIO!$B$2</f>
        <v>3262</v>
      </c>
      <c r="D40" s="33">
        <f ca="1">IFERROR(__xludf.DUMMYFUNCTION("SUM(
IFERROR(QUERY('Sintética 20222023'!A:I, CONCATENATE(""SELECT I WHERE A="", ""'"",$A40,""'"")),0),
IFERROR(QUERY('Sintética 20222023'!A:I, CONCATENATE(""SELECT H WHERE G="", ""'"",$A40,""'"")),0),
)"),0)</f>
        <v>0</v>
      </c>
      <c r="E40" s="85">
        <v>2022</v>
      </c>
      <c r="F40" s="85">
        <v>12</v>
      </c>
    </row>
    <row r="41" spans="1:6" x14ac:dyDescent="0.2">
      <c r="A41" s="59"/>
      <c r="B41" s="117">
        <v>44926</v>
      </c>
      <c r="C41" s="59">
        <f>APOIO!$B$2</f>
        <v>3262</v>
      </c>
      <c r="D41" s="33">
        <f ca="1">IFERROR(__xludf.DUMMYFUNCTION("SUM(
IFERROR(QUERY('Sintética 20222023'!A:I, CONCATENATE(""SELECT I WHERE A="", ""'"",$A41,""'"")),0),
IFERROR(QUERY('Sintética 20222023'!A:I, CONCATENATE(""SELECT H WHERE G="", ""'"",$A41,""'"")),0),
)"),0)</f>
        <v>0</v>
      </c>
      <c r="E41" s="85">
        <v>2022</v>
      </c>
      <c r="F41" s="85">
        <v>12</v>
      </c>
    </row>
    <row r="42" spans="1:6" x14ac:dyDescent="0.2">
      <c r="A42" s="59"/>
      <c r="B42" s="117">
        <v>44926</v>
      </c>
      <c r="C42" s="59">
        <f>APOIO!$B$2</f>
        <v>3262</v>
      </c>
      <c r="D42" s="33">
        <f ca="1">IFERROR(__xludf.DUMMYFUNCTION("SUM(
IFERROR(QUERY('Sintética 20222023'!A:I, CONCATENATE(""SELECT I WHERE A="", ""'"",$A42,""'"")),0),
IFERROR(QUERY('Sintética 20222023'!A:I, CONCATENATE(""SELECT H WHERE G="", ""'"",$A42,""'"")),0),
)"),0)</f>
        <v>0</v>
      </c>
      <c r="E42" s="85">
        <v>2022</v>
      </c>
      <c r="F42" s="85">
        <v>12</v>
      </c>
    </row>
    <row r="43" spans="1:6" x14ac:dyDescent="0.2">
      <c r="A43" s="59"/>
      <c r="B43" s="117">
        <v>44926</v>
      </c>
      <c r="C43" s="59">
        <f>APOIO!$B$2</f>
        <v>3262</v>
      </c>
      <c r="D43" s="33">
        <f ca="1">IFERROR(__xludf.DUMMYFUNCTION("SUM(
IFERROR(QUERY('Sintética 20222023'!A:I, CONCATENATE(""SELECT I WHERE A="", ""'"",$A43,""'"")),0),
IFERROR(QUERY('Sintética 20222023'!A:I, CONCATENATE(""SELECT H WHERE G="", ""'"",$A43,""'"")),0),
)"),0)</f>
        <v>0</v>
      </c>
      <c r="E43" s="85">
        <v>2022</v>
      </c>
      <c r="F43" s="85">
        <v>12</v>
      </c>
    </row>
    <row r="44" spans="1:6" x14ac:dyDescent="0.2">
      <c r="A44" s="59"/>
      <c r="B44" s="117">
        <v>44926</v>
      </c>
      <c r="C44" s="59">
        <f>APOIO!$B$2</f>
        <v>3262</v>
      </c>
      <c r="D44" s="33">
        <f ca="1">IFERROR(__xludf.DUMMYFUNCTION("SUM(
IFERROR(QUERY('Sintética 20222023'!A:I, CONCATENATE(""SELECT I WHERE A="", ""'"",$A44,""'"")),0),
IFERROR(QUERY('Sintética 20222023'!A:I, CONCATENATE(""SELECT H WHERE G="", ""'"",$A44,""'"")),0),
)"),0)</f>
        <v>0</v>
      </c>
      <c r="E44" s="85">
        <v>2022</v>
      </c>
      <c r="F44" s="85">
        <v>12</v>
      </c>
    </row>
    <row r="45" spans="1:6" x14ac:dyDescent="0.2">
      <c r="A45" s="59"/>
      <c r="B45" s="117">
        <v>44926</v>
      </c>
      <c r="C45" s="59">
        <f>APOIO!$B$2</f>
        <v>3262</v>
      </c>
      <c r="D45" s="33">
        <f ca="1">IFERROR(__xludf.DUMMYFUNCTION("SUM(
IFERROR(QUERY('Sintética 20222023'!A:I, CONCATENATE(""SELECT I WHERE A="", ""'"",$A45,""'"")),0),
IFERROR(QUERY('Sintética 20222023'!A:I, CONCATENATE(""SELECT H WHERE G="", ""'"",$A45,""'"")),0),
)"),0)</f>
        <v>0</v>
      </c>
      <c r="E45" s="85">
        <v>2022</v>
      </c>
      <c r="F45" s="85">
        <v>12</v>
      </c>
    </row>
    <row r="46" spans="1:6" x14ac:dyDescent="0.2">
      <c r="A46" s="59"/>
      <c r="B46" s="117">
        <v>44926</v>
      </c>
      <c r="C46" s="59">
        <f>APOIO!$B$2</f>
        <v>3262</v>
      </c>
      <c r="D46" s="33">
        <f ca="1">IFERROR(__xludf.DUMMYFUNCTION("SUM(
IFERROR(QUERY('Sintética 20222023'!A:I, CONCATENATE(""SELECT I WHERE A="", ""'"",$A46,""'"")),0),
IFERROR(QUERY('Sintética 20222023'!A:I, CONCATENATE(""SELECT H WHERE G="", ""'"",$A46,""'"")),0),
)"),0)</f>
        <v>0</v>
      </c>
      <c r="E46" s="85">
        <v>2022</v>
      </c>
      <c r="F46" s="85">
        <v>12</v>
      </c>
    </row>
    <row r="47" spans="1:6" x14ac:dyDescent="0.2">
      <c r="A47" s="59"/>
      <c r="B47" s="117">
        <v>44926</v>
      </c>
      <c r="C47" s="59">
        <f>APOIO!$B$2</f>
        <v>3262</v>
      </c>
      <c r="D47" s="33">
        <f ca="1">IFERROR(__xludf.DUMMYFUNCTION("SUM(
IFERROR(QUERY('Sintética 20222023'!A:I, CONCATENATE(""SELECT I WHERE A="", ""'"",$A47,""'"")),0),
IFERROR(QUERY('Sintética 20222023'!A:I, CONCATENATE(""SELECT H WHERE G="", ""'"",$A47,""'"")),0),
)"),0)</f>
        <v>0</v>
      </c>
      <c r="E47" s="85">
        <v>2022</v>
      </c>
      <c r="F47" s="85">
        <v>12</v>
      </c>
    </row>
    <row r="48" spans="1:6" x14ac:dyDescent="0.2">
      <c r="A48" s="59"/>
      <c r="B48" s="117">
        <v>44926</v>
      </c>
      <c r="C48" s="59">
        <f>APOIO!$B$2</f>
        <v>3262</v>
      </c>
      <c r="D48" s="33">
        <f ca="1">IFERROR(__xludf.DUMMYFUNCTION("SUM(
IFERROR(QUERY('Sintética 20222023'!A:I, CONCATENATE(""SELECT I WHERE A="", ""'"",$A48,""'"")),0),
IFERROR(QUERY('Sintética 20222023'!A:I, CONCATENATE(""SELECT H WHERE G="", ""'"",$A48,""'"")),0),
)"),0)</f>
        <v>0</v>
      </c>
      <c r="E48" s="85">
        <v>2022</v>
      </c>
      <c r="F48" s="85">
        <v>12</v>
      </c>
    </row>
    <row r="49" spans="1:6" x14ac:dyDescent="0.2">
      <c r="A49" s="59"/>
      <c r="B49" s="117">
        <v>44926</v>
      </c>
      <c r="C49" s="59">
        <f>APOIO!$B$2</f>
        <v>3262</v>
      </c>
      <c r="D49" s="33">
        <f ca="1">IFERROR(__xludf.DUMMYFUNCTION("SUM(
IFERROR(QUERY('Sintética 20222023'!A:I, CONCATENATE(""SELECT I WHERE A="", ""'"",$A49,""'"")),0),
IFERROR(QUERY('Sintética 20222023'!A:I, CONCATENATE(""SELECT H WHERE G="", ""'"",$A49,""'"")),0),
)"),0)</f>
        <v>0</v>
      </c>
      <c r="E49" s="85">
        <v>2022</v>
      </c>
      <c r="F49" s="85">
        <v>12</v>
      </c>
    </row>
    <row r="50" spans="1:6" x14ac:dyDescent="0.2">
      <c r="A50" s="59"/>
      <c r="B50" s="117">
        <v>44926</v>
      </c>
      <c r="C50" s="59">
        <f>APOIO!$B$2</f>
        <v>3262</v>
      </c>
      <c r="D50" s="33">
        <f ca="1">IFERROR(__xludf.DUMMYFUNCTION("SUM(
IFERROR(QUERY('Sintética 20222023'!A:I, CONCATENATE(""SELECT I WHERE A="", ""'"",$A50,""'"")),0),
IFERROR(QUERY('Sintética 20222023'!A:I, CONCATENATE(""SELECT H WHERE G="", ""'"",$A50,""'"")),0),
)"),0)</f>
        <v>0</v>
      </c>
      <c r="E50" s="85">
        <v>2022</v>
      </c>
      <c r="F50" s="85">
        <v>12</v>
      </c>
    </row>
    <row r="51" spans="1:6" x14ac:dyDescent="0.2">
      <c r="A51" s="59"/>
      <c r="B51" s="117">
        <v>44926</v>
      </c>
      <c r="C51" s="59">
        <f>APOIO!$B$2</f>
        <v>3262</v>
      </c>
      <c r="D51" s="33">
        <f ca="1">IFERROR(__xludf.DUMMYFUNCTION("SUM(
IFERROR(QUERY('Sintética 20222023'!A:I, CONCATENATE(""SELECT I WHERE A="", ""'"",$A51,""'"")),0),
IFERROR(QUERY('Sintética 20222023'!A:I, CONCATENATE(""SELECT H WHERE G="", ""'"",$A51,""'"")),0),
)"),0)</f>
        <v>0</v>
      </c>
      <c r="E51" s="85">
        <v>2022</v>
      </c>
      <c r="F51" s="85">
        <v>12</v>
      </c>
    </row>
    <row r="52" spans="1:6" x14ac:dyDescent="0.2">
      <c r="A52" s="59"/>
      <c r="B52" s="117">
        <v>44926</v>
      </c>
      <c r="C52" s="59">
        <f>APOIO!$B$2</f>
        <v>3262</v>
      </c>
      <c r="D52" s="33">
        <f ca="1">IFERROR(__xludf.DUMMYFUNCTION("SUM(
IFERROR(QUERY('Sintética 20222023'!A:I, CONCATENATE(""SELECT I WHERE A="", ""'"",$A52,""'"")),0),
IFERROR(QUERY('Sintética 20222023'!A:I, CONCATENATE(""SELECT H WHERE G="", ""'"",$A52,""'"")),0),
)"),0)</f>
        <v>0</v>
      </c>
      <c r="E52" s="85">
        <v>2022</v>
      </c>
      <c r="F52" s="85">
        <v>12</v>
      </c>
    </row>
    <row r="53" spans="1:6" x14ac:dyDescent="0.2">
      <c r="A53" s="59"/>
      <c r="B53" s="117">
        <v>44926</v>
      </c>
      <c r="C53" s="59">
        <f>APOIO!$B$2</f>
        <v>3262</v>
      </c>
      <c r="D53" s="33">
        <f ca="1">IFERROR(__xludf.DUMMYFUNCTION("SUM(
IFERROR(QUERY('Sintética 20222023'!A:I, CONCATENATE(""SELECT I WHERE A="", ""'"",$A53,""'"")),0),
IFERROR(QUERY('Sintética 20222023'!A:I, CONCATENATE(""SELECT H WHERE G="", ""'"",$A53,""'"")),0),
)"),0)</f>
        <v>0</v>
      </c>
      <c r="E53" s="85">
        <v>2022</v>
      </c>
      <c r="F53" s="85">
        <v>12</v>
      </c>
    </row>
    <row r="54" spans="1:6" x14ac:dyDescent="0.2">
      <c r="A54" s="59"/>
      <c r="B54" s="117">
        <v>44926</v>
      </c>
      <c r="C54" s="59">
        <f>APOIO!$B$2</f>
        <v>3262</v>
      </c>
      <c r="D54" s="33">
        <f ca="1">IFERROR(__xludf.DUMMYFUNCTION("SUM(
IFERROR(QUERY('Sintética 20222023'!A:I, CONCATENATE(""SELECT I WHERE A="", ""'"",$A54,""'"")),0),
IFERROR(QUERY('Sintética 20222023'!A:I, CONCATENATE(""SELECT H WHERE G="", ""'"",$A54,""'"")),0),
)"),0)</f>
        <v>0</v>
      </c>
      <c r="E54" s="85">
        <v>2022</v>
      </c>
      <c r="F54" s="85">
        <v>12</v>
      </c>
    </row>
    <row r="55" spans="1:6" x14ac:dyDescent="0.2">
      <c r="A55" s="59"/>
      <c r="B55" s="117">
        <v>44926</v>
      </c>
      <c r="C55" s="59">
        <f>APOIO!$B$2</f>
        <v>3262</v>
      </c>
      <c r="D55" s="33">
        <f ca="1">IFERROR(__xludf.DUMMYFUNCTION("SUM(
IFERROR(QUERY('Sintética 20222023'!A:I, CONCATENATE(""SELECT I WHERE A="", ""'"",$A55,""'"")),0),
IFERROR(QUERY('Sintética 20222023'!A:I, CONCATENATE(""SELECT H WHERE G="", ""'"",$A55,""'"")),0),
)"),0)</f>
        <v>0</v>
      </c>
      <c r="E55" s="85">
        <v>2022</v>
      </c>
      <c r="F55" s="85">
        <v>12</v>
      </c>
    </row>
    <row r="56" spans="1:6" x14ac:dyDescent="0.2">
      <c r="A56" s="59"/>
      <c r="B56" s="117">
        <v>44926</v>
      </c>
      <c r="C56" s="59">
        <f>APOIO!$B$2</f>
        <v>3262</v>
      </c>
      <c r="D56" s="33">
        <f ca="1">IFERROR(__xludf.DUMMYFUNCTION("SUM(
IFERROR(QUERY('Sintética 20222023'!A:I, CONCATENATE(""SELECT I WHERE A="", ""'"",$A56,""'"")),0),
IFERROR(QUERY('Sintética 20222023'!A:I, CONCATENATE(""SELECT H WHERE G="", ""'"",$A56,""'"")),0),
)"),0)</f>
        <v>0</v>
      </c>
      <c r="E56" s="85">
        <v>2022</v>
      </c>
      <c r="F56" s="85">
        <v>12</v>
      </c>
    </row>
    <row r="57" spans="1:6" x14ac:dyDescent="0.2">
      <c r="A57" s="59"/>
      <c r="B57" s="117">
        <v>44926</v>
      </c>
      <c r="C57" s="59">
        <f>APOIO!$B$2</f>
        <v>3262</v>
      </c>
      <c r="D57" s="33">
        <f ca="1">IFERROR(__xludf.DUMMYFUNCTION("SUM(
IFERROR(QUERY('Sintética 20222023'!A:I, CONCATENATE(""SELECT I WHERE A="", ""'"",$A57,""'"")),0),
IFERROR(QUERY('Sintética 20222023'!A:I, CONCATENATE(""SELECT H WHERE G="", ""'"",$A57,""'"")),0),
)"),0)</f>
        <v>0</v>
      </c>
      <c r="E57" s="85">
        <v>2022</v>
      </c>
      <c r="F57" s="85">
        <v>12</v>
      </c>
    </row>
    <row r="58" spans="1:6" x14ac:dyDescent="0.2">
      <c r="A58" s="59"/>
      <c r="B58" s="117">
        <v>44926</v>
      </c>
      <c r="C58" s="59">
        <f>APOIO!$B$2</f>
        <v>3262</v>
      </c>
      <c r="D58" s="33">
        <f ca="1">IFERROR(__xludf.DUMMYFUNCTION("SUM(
IFERROR(QUERY('Sintética 20222023'!A:I, CONCATENATE(""SELECT I WHERE A="", ""'"",$A58,""'"")),0),
IFERROR(QUERY('Sintética 20222023'!A:I, CONCATENATE(""SELECT H WHERE G="", ""'"",$A58,""'"")),0),
)"),0)</f>
        <v>0</v>
      </c>
      <c r="E58" s="85">
        <v>2022</v>
      </c>
      <c r="F58" s="85">
        <v>12</v>
      </c>
    </row>
    <row r="59" spans="1:6" x14ac:dyDescent="0.2">
      <c r="A59" s="59"/>
      <c r="B59" s="117">
        <v>44926</v>
      </c>
      <c r="C59" s="59">
        <f>APOIO!$B$2</f>
        <v>3262</v>
      </c>
      <c r="D59" s="33">
        <f ca="1">IFERROR(__xludf.DUMMYFUNCTION("SUM(
IFERROR(QUERY('Sintética 20222023'!A:I, CONCATENATE(""SELECT I WHERE A="", ""'"",$A59,""'"")),0),
IFERROR(QUERY('Sintética 20222023'!A:I, CONCATENATE(""SELECT H WHERE G="", ""'"",$A59,""'"")),0),
)"),0)</f>
        <v>0</v>
      </c>
      <c r="E59" s="85">
        <v>2022</v>
      </c>
      <c r="F59" s="85">
        <v>12</v>
      </c>
    </row>
    <row r="60" spans="1:6" x14ac:dyDescent="0.2">
      <c r="A60" s="59"/>
      <c r="B60" s="117">
        <v>44926</v>
      </c>
      <c r="C60" s="59">
        <f>APOIO!$B$2</f>
        <v>3262</v>
      </c>
      <c r="D60" s="33">
        <f ca="1">IFERROR(__xludf.DUMMYFUNCTION("SUM(
IFERROR(QUERY('Sintética 20222023'!A:I, CONCATENATE(""SELECT I WHERE A="", ""'"",$A60,""'"")),0),
IFERROR(QUERY('Sintética 20222023'!A:I, CONCATENATE(""SELECT H WHERE G="", ""'"",$A60,""'"")),0),
)"),0)</f>
        <v>0</v>
      </c>
      <c r="E60" s="85">
        <v>2022</v>
      </c>
      <c r="F60" s="85">
        <v>12</v>
      </c>
    </row>
    <row r="61" spans="1:6" x14ac:dyDescent="0.2">
      <c r="A61" s="59"/>
      <c r="B61" s="117">
        <v>44926</v>
      </c>
      <c r="C61" s="59">
        <f>APOIO!$B$2</f>
        <v>3262</v>
      </c>
      <c r="D61" s="33">
        <f ca="1">IFERROR(__xludf.DUMMYFUNCTION("SUM(
IFERROR(QUERY('Sintética 20222023'!A:I, CONCATENATE(""SELECT I WHERE A="", ""'"",$A61,""'"")),0),
IFERROR(QUERY('Sintética 20222023'!A:I, CONCATENATE(""SELECT H WHERE G="", ""'"",$A61,""'"")),0),
)"),0)</f>
        <v>0</v>
      </c>
      <c r="E61" s="85">
        <v>2022</v>
      </c>
      <c r="F61" s="85">
        <v>12</v>
      </c>
    </row>
    <row r="62" spans="1:6" x14ac:dyDescent="0.2">
      <c r="A62" s="59"/>
      <c r="B62" s="117">
        <v>44926</v>
      </c>
      <c r="C62" s="59">
        <f>APOIO!$B$2</f>
        <v>3262</v>
      </c>
      <c r="D62" s="33">
        <f ca="1">IFERROR(__xludf.DUMMYFUNCTION("SUM(
IFERROR(QUERY('Sintética 20222023'!A:I, CONCATENATE(""SELECT I WHERE A="", ""'"",$A62,""'"")),0),
IFERROR(QUERY('Sintética 20222023'!A:I, CONCATENATE(""SELECT H WHERE G="", ""'"",$A62,""'"")),0),
)"),0)</f>
        <v>0</v>
      </c>
      <c r="E62" s="85">
        <v>2022</v>
      </c>
      <c r="F62" s="85">
        <v>12</v>
      </c>
    </row>
    <row r="63" spans="1:6" x14ac:dyDescent="0.2">
      <c r="A63" s="59"/>
      <c r="B63" s="117">
        <v>44926</v>
      </c>
      <c r="C63" s="59">
        <f>APOIO!$B$2</f>
        <v>3262</v>
      </c>
      <c r="D63" s="33">
        <f ca="1">IFERROR(__xludf.DUMMYFUNCTION("SUM(
IFERROR(QUERY('Sintética 20222023'!A:I, CONCATENATE(""SELECT I WHERE A="", ""'"",$A63,""'"")),0),
IFERROR(QUERY('Sintética 20222023'!A:I, CONCATENATE(""SELECT H WHERE G="", ""'"",$A63,""'"")),0),
)"),0)</f>
        <v>0</v>
      </c>
      <c r="E63" s="85">
        <v>2022</v>
      </c>
      <c r="F63" s="85">
        <v>12</v>
      </c>
    </row>
    <row r="64" spans="1:6" x14ac:dyDescent="0.2">
      <c r="A64" s="59"/>
      <c r="B64" s="117">
        <v>44926</v>
      </c>
      <c r="C64" s="59">
        <f>APOIO!$B$2</f>
        <v>3262</v>
      </c>
      <c r="D64" s="33">
        <f ca="1">IFERROR(__xludf.DUMMYFUNCTION("SUM(
IFERROR(QUERY('Sintética 20222023'!A:I, CONCATENATE(""SELECT I WHERE A="", ""'"",$A64,""'"")),0),
IFERROR(QUERY('Sintética 20222023'!A:I, CONCATENATE(""SELECT H WHERE G="", ""'"",$A64,""'"")),0),
)"),0)</f>
        <v>0</v>
      </c>
      <c r="E64" s="85">
        <v>2022</v>
      </c>
      <c r="F64" s="85">
        <v>12</v>
      </c>
    </row>
    <row r="65" spans="1:6" x14ac:dyDescent="0.2">
      <c r="A65" s="59"/>
      <c r="B65" s="117">
        <v>44926</v>
      </c>
      <c r="C65" s="59">
        <f>APOIO!$B$2</f>
        <v>3262</v>
      </c>
      <c r="D65" s="33">
        <f ca="1">IFERROR(__xludf.DUMMYFUNCTION("SUM(
IFERROR(QUERY('Sintética 20222023'!A:I, CONCATENATE(""SELECT I WHERE A="", ""'"",$A65,""'"")),0),
IFERROR(QUERY('Sintética 20222023'!A:I, CONCATENATE(""SELECT H WHERE G="", ""'"",$A65,""'"")),0),
)"),0)</f>
        <v>0</v>
      </c>
      <c r="E65" s="85">
        <v>2022</v>
      </c>
      <c r="F65" s="85">
        <v>12</v>
      </c>
    </row>
    <row r="66" spans="1:6" x14ac:dyDescent="0.2">
      <c r="A66" s="59"/>
      <c r="B66" s="117">
        <v>44926</v>
      </c>
      <c r="C66" s="59">
        <f>APOIO!$B$2</f>
        <v>3262</v>
      </c>
      <c r="D66" s="33">
        <f ca="1">IFERROR(__xludf.DUMMYFUNCTION("SUM(
IFERROR(QUERY('Sintética 20222023'!A:I, CONCATENATE(""SELECT I WHERE A="", ""'"",$A66,""'"")),0),
IFERROR(QUERY('Sintética 20222023'!A:I, CONCATENATE(""SELECT H WHERE G="", ""'"",$A66,""'"")),0),
)"),0)</f>
        <v>0</v>
      </c>
      <c r="E66" s="85">
        <v>2022</v>
      </c>
      <c r="F66" s="85">
        <v>12</v>
      </c>
    </row>
    <row r="67" spans="1:6" x14ac:dyDescent="0.2">
      <c r="A67" s="59"/>
      <c r="B67" s="117">
        <v>44926</v>
      </c>
      <c r="C67" s="59">
        <f>APOIO!$B$2</f>
        <v>3262</v>
      </c>
      <c r="D67" s="33">
        <f ca="1">IFERROR(__xludf.DUMMYFUNCTION("SUM(
IFERROR(QUERY('Sintética 20222023'!A:I, CONCATENATE(""SELECT I WHERE A="", ""'"",$A67,""'"")),0),
IFERROR(QUERY('Sintética 20222023'!A:I, CONCATENATE(""SELECT H WHERE G="", ""'"",$A67,""'"")),0),
)"),0)</f>
        <v>0</v>
      </c>
      <c r="E67" s="85">
        <v>2022</v>
      </c>
      <c r="F67" s="85">
        <v>12</v>
      </c>
    </row>
    <row r="68" spans="1:6" x14ac:dyDescent="0.2">
      <c r="A68" s="59"/>
      <c r="B68" s="117">
        <v>44926</v>
      </c>
      <c r="C68" s="59">
        <f>APOIO!$B$2</f>
        <v>3262</v>
      </c>
      <c r="D68" s="33">
        <f ca="1">IFERROR(__xludf.DUMMYFUNCTION("SUM(
IFERROR(QUERY('Sintética 20222023'!A:I, CONCATENATE(""SELECT I WHERE A="", ""'"",$A68,""'"")),0),
IFERROR(QUERY('Sintética 20222023'!A:I, CONCATENATE(""SELECT H WHERE G="", ""'"",$A68,""'"")),0),
)"),0)</f>
        <v>0</v>
      </c>
      <c r="E68" s="85">
        <v>2022</v>
      </c>
      <c r="F68" s="85">
        <v>12</v>
      </c>
    </row>
    <row r="69" spans="1:6" x14ac:dyDescent="0.2">
      <c r="A69" s="59"/>
      <c r="B69" s="117">
        <v>44926</v>
      </c>
      <c r="C69" s="59">
        <f>APOIO!$B$2</f>
        <v>3262</v>
      </c>
      <c r="D69" s="33">
        <f ca="1">IFERROR(__xludf.DUMMYFUNCTION("SUM(
IFERROR(QUERY('Sintética 20222023'!A:I, CONCATENATE(""SELECT I WHERE A="", ""'"",$A69,""'"")),0),
IFERROR(QUERY('Sintética 20222023'!A:I, CONCATENATE(""SELECT H WHERE G="", ""'"",$A69,""'"")),0),
)"),0)</f>
        <v>0</v>
      </c>
      <c r="E69" s="85">
        <v>2022</v>
      </c>
      <c r="F69" s="85">
        <v>12</v>
      </c>
    </row>
    <row r="70" spans="1:6" x14ac:dyDescent="0.2">
      <c r="A70" s="59"/>
      <c r="B70" s="117">
        <v>44926</v>
      </c>
      <c r="C70" s="59">
        <f>APOIO!$B$2</f>
        <v>3262</v>
      </c>
      <c r="D70" s="33">
        <f ca="1">IFERROR(__xludf.DUMMYFUNCTION("SUM(
IFERROR(QUERY('Sintética 20222023'!A:I, CONCATENATE(""SELECT I WHERE A="", ""'"",$A70,""'"")),0),
IFERROR(QUERY('Sintética 20222023'!A:I, CONCATENATE(""SELECT H WHERE G="", ""'"",$A70,""'"")),0),
)"),0)</f>
        <v>0</v>
      </c>
      <c r="E70" s="85">
        <v>2022</v>
      </c>
      <c r="F70" s="85">
        <v>12</v>
      </c>
    </row>
    <row r="71" spans="1:6" x14ac:dyDescent="0.2">
      <c r="A71" s="59"/>
      <c r="B71" s="117">
        <v>44926</v>
      </c>
      <c r="C71" s="59">
        <f>APOIO!$B$2</f>
        <v>3262</v>
      </c>
      <c r="D71" s="33">
        <f ca="1">IFERROR(__xludf.DUMMYFUNCTION("SUM(
IFERROR(QUERY('Sintética 20222023'!A:I, CONCATENATE(""SELECT I WHERE A="", ""'"",$A71,""'"")),0),
IFERROR(QUERY('Sintética 20222023'!A:I, CONCATENATE(""SELECT H WHERE G="", ""'"",$A71,""'"")),0),
)"),0)</f>
        <v>0</v>
      </c>
      <c r="E71" s="85">
        <v>2022</v>
      </c>
      <c r="F71" s="85">
        <v>12</v>
      </c>
    </row>
    <row r="72" spans="1:6" x14ac:dyDescent="0.2">
      <c r="A72" s="59"/>
      <c r="B72" s="117">
        <v>44926</v>
      </c>
      <c r="C72" s="59">
        <f>APOIO!$B$2</f>
        <v>3262</v>
      </c>
      <c r="D72" s="33">
        <f ca="1">IFERROR(__xludf.DUMMYFUNCTION("SUM(
IFERROR(QUERY('Sintética 20222023'!A:I, CONCATENATE(""SELECT I WHERE A="", ""'"",$A72,""'"")),0),
IFERROR(QUERY('Sintética 20222023'!A:I, CONCATENATE(""SELECT H WHERE G="", ""'"",$A72,""'"")),0),
)"),0)</f>
        <v>0</v>
      </c>
      <c r="E72" s="85">
        <v>2022</v>
      </c>
      <c r="F72" s="85">
        <v>12</v>
      </c>
    </row>
    <row r="73" spans="1:6" x14ac:dyDescent="0.2">
      <c r="A73" s="59"/>
      <c r="B73" s="117">
        <v>44926</v>
      </c>
      <c r="C73" s="59">
        <f>APOIO!$B$2</f>
        <v>3262</v>
      </c>
      <c r="D73" s="33">
        <f ca="1">IFERROR(__xludf.DUMMYFUNCTION("SUM(
IFERROR(QUERY('Sintética 20222023'!A:I, CONCATENATE(""SELECT I WHERE A="", ""'"",$A73,""'"")),0),
IFERROR(QUERY('Sintética 20222023'!A:I, CONCATENATE(""SELECT H WHERE G="", ""'"",$A73,""'"")),0),
)"),0)</f>
        <v>0</v>
      </c>
      <c r="E73" s="85">
        <v>2022</v>
      </c>
      <c r="F73" s="85">
        <v>12</v>
      </c>
    </row>
    <row r="74" spans="1:6" x14ac:dyDescent="0.2">
      <c r="A74" s="59"/>
      <c r="B74" s="117">
        <v>44926</v>
      </c>
      <c r="C74" s="59">
        <f>APOIO!$B$2</f>
        <v>3262</v>
      </c>
      <c r="D74" s="33">
        <f ca="1">IFERROR(__xludf.DUMMYFUNCTION("SUM(
IFERROR(QUERY('Sintética 20222023'!A:I, CONCATENATE(""SELECT I WHERE A="", ""'"",$A74,""'"")),0),
IFERROR(QUERY('Sintética 20222023'!A:I, CONCATENATE(""SELECT H WHERE G="", ""'"",$A74,""'"")),0),
)"),0)</f>
        <v>0</v>
      </c>
      <c r="E74" s="85">
        <v>2022</v>
      </c>
      <c r="F74" s="85">
        <v>12</v>
      </c>
    </row>
    <row r="75" spans="1:6" x14ac:dyDescent="0.2">
      <c r="A75" s="59"/>
      <c r="B75" s="117">
        <v>44926</v>
      </c>
      <c r="C75" s="59">
        <f>APOIO!$B$2</f>
        <v>3262</v>
      </c>
      <c r="D75" s="33">
        <f ca="1">IFERROR(__xludf.DUMMYFUNCTION("SUM(
IFERROR(QUERY('Sintética 20222023'!A:I, CONCATENATE(""SELECT I WHERE A="", ""'"",$A75,""'"")),0),
IFERROR(QUERY('Sintética 20222023'!A:I, CONCATENATE(""SELECT H WHERE G="", ""'"",$A75,""'"")),0),
)"),0)</f>
        <v>0</v>
      </c>
      <c r="E75" s="85">
        <v>2022</v>
      </c>
      <c r="F75" s="85">
        <v>12</v>
      </c>
    </row>
    <row r="76" spans="1:6" x14ac:dyDescent="0.2">
      <c r="A76" s="59"/>
      <c r="B76" s="117">
        <v>44926</v>
      </c>
      <c r="C76" s="59">
        <f>APOIO!$B$2</f>
        <v>3262</v>
      </c>
      <c r="D76" s="33">
        <f ca="1">IFERROR(__xludf.DUMMYFUNCTION("SUM(
IFERROR(QUERY('Sintética 20222023'!A:I, CONCATENATE(""SELECT I WHERE A="", ""'"",$A76,""'"")),0),
IFERROR(QUERY('Sintética 20222023'!A:I, CONCATENATE(""SELECT H WHERE G="", ""'"",$A76,""'"")),0),
)"),0)</f>
        <v>0</v>
      </c>
      <c r="E76" s="85">
        <v>2022</v>
      </c>
      <c r="F76" s="85">
        <v>12</v>
      </c>
    </row>
    <row r="77" spans="1:6" x14ac:dyDescent="0.2">
      <c r="A77" s="59"/>
      <c r="B77" s="117">
        <v>44926</v>
      </c>
      <c r="C77" s="59">
        <f>APOIO!$B$2</f>
        <v>3262</v>
      </c>
      <c r="D77" s="33">
        <f ca="1">IFERROR(__xludf.DUMMYFUNCTION("SUM(
IFERROR(QUERY('Sintética 20222023'!A:I, CONCATENATE(""SELECT I WHERE A="", ""'"",$A77,""'"")),0),
IFERROR(QUERY('Sintética 20222023'!A:I, CONCATENATE(""SELECT H WHERE G="", ""'"",$A77,""'"")),0),
)"),0)</f>
        <v>0</v>
      </c>
      <c r="E77" s="85">
        <v>2022</v>
      </c>
      <c r="F77" s="85">
        <v>12</v>
      </c>
    </row>
    <row r="78" spans="1:6" x14ac:dyDescent="0.2">
      <c r="A78" s="59"/>
      <c r="B78" s="117">
        <v>44926</v>
      </c>
      <c r="C78" s="59">
        <f>APOIO!$B$2</f>
        <v>3262</v>
      </c>
      <c r="D78" s="33">
        <f ca="1">IFERROR(__xludf.DUMMYFUNCTION("SUM(
IFERROR(QUERY('Sintética 20222023'!A:I, CONCATENATE(""SELECT I WHERE A="", ""'"",$A78,""'"")),0),
IFERROR(QUERY('Sintética 20222023'!A:I, CONCATENATE(""SELECT H WHERE G="", ""'"",$A78,""'"")),0),
)"),0)</f>
        <v>0</v>
      </c>
      <c r="E78" s="85">
        <v>2022</v>
      </c>
      <c r="F78" s="85">
        <v>12</v>
      </c>
    </row>
    <row r="79" spans="1:6" x14ac:dyDescent="0.2">
      <c r="A79" s="59"/>
      <c r="B79" s="117">
        <v>44926</v>
      </c>
      <c r="C79" s="59">
        <f>APOIO!$B$2</f>
        <v>3262</v>
      </c>
      <c r="D79" s="33">
        <f ca="1">IFERROR(__xludf.DUMMYFUNCTION("SUM(
IFERROR(QUERY('Sintética 20222023'!A:I, CONCATENATE(""SELECT I WHERE A="", ""'"",$A79,""'"")),0),
IFERROR(QUERY('Sintética 20222023'!A:I, CONCATENATE(""SELECT H WHERE G="", ""'"",$A79,""'"")),0),
)"),0)</f>
        <v>0</v>
      </c>
      <c r="E79" s="85">
        <v>2022</v>
      </c>
      <c r="F79" s="85">
        <v>12</v>
      </c>
    </row>
    <row r="80" spans="1:6" x14ac:dyDescent="0.2">
      <c r="A80" s="59"/>
      <c r="B80" s="117">
        <v>44926</v>
      </c>
      <c r="C80" s="59">
        <f>APOIO!$B$2</f>
        <v>3262</v>
      </c>
      <c r="D80" s="33">
        <f ca="1">IFERROR(__xludf.DUMMYFUNCTION("SUM(
IFERROR(QUERY('Sintética 20222023'!A:I, CONCATENATE(""SELECT I WHERE A="", ""'"",$A80,""'"")),0),
IFERROR(QUERY('Sintética 20222023'!A:I, CONCATENATE(""SELECT H WHERE G="", ""'"",$A80,""'"")),0),
)"),0)</f>
        <v>0</v>
      </c>
      <c r="E80" s="85">
        <v>2022</v>
      </c>
      <c r="F80" s="85">
        <v>12</v>
      </c>
    </row>
    <row r="81" spans="1:6" x14ac:dyDescent="0.2">
      <c r="A81" s="59"/>
      <c r="B81" s="117">
        <v>44926</v>
      </c>
      <c r="C81" s="59">
        <f>APOIO!$B$2</f>
        <v>3262</v>
      </c>
      <c r="D81" s="33">
        <f ca="1">IFERROR(__xludf.DUMMYFUNCTION("SUM(
IFERROR(QUERY('Sintética 20222023'!A:I, CONCATENATE(""SELECT I WHERE A="", ""'"",$A81,""'"")),0),
IFERROR(QUERY('Sintética 20222023'!A:I, CONCATENATE(""SELECT H WHERE G="", ""'"",$A81,""'"")),0),
)"),0)</f>
        <v>0</v>
      </c>
      <c r="E81" s="85">
        <v>2022</v>
      </c>
      <c r="F81" s="85">
        <v>12</v>
      </c>
    </row>
    <row r="82" spans="1:6" x14ac:dyDescent="0.2">
      <c r="A82" s="59"/>
      <c r="B82" s="117">
        <v>44926</v>
      </c>
      <c r="C82" s="59">
        <f>APOIO!$B$2</f>
        <v>3262</v>
      </c>
      <c r="D82" s="33">
        <f ca="1">IFERROR(__xludf.DUMMYFUNCTION("SUM(
IFERROR(QUERY('Sintética 20222023'!A:I, CONCATENATE(""SELECT I WHERE A="", ""'"",$A82,""'"")),0),
IFERROR(QUERY('Sintética 20222023'!A:I, CONCATENATE(""SELECT H WHERE G="", ""'"",$A82,""'"")),0),
)"),0)</f>
        <v>0</v>
      </c>
      <c r="E82" s="85">
        <v>2022</v>
      </c>
      <c r="F82" s="85">
        <v>12</v>
      </c>
    </row>
    <row r="83" spans="1:6" x14ac:dyDescent="0.2">
      <c r="A83" s="59"/>
      <c r="B83" s="117">
        <v>44926</v>
      </c>
      <c r="C83" s="59">
        <f>APOIO!$B$2</f>
        <v>3262</v>
      </c>
      <c r="D83" s="33">
        <f ca="1">IFERROR(__xludf.DUMMYFUNCTION("SUM(
IFERROR(QUERY('Sintética 20222023'!A:I, CONCATENATE(""SELECT I WHERE A="", ""'"",$A83,""'"")),0),
IFERROR(QUERY('Sintética 20222023'!A:I, CONCATENATE(""SELECT H WHERE G="", ""'"",$A83,""'"")),0),
)"),0)</f>
        <v>0</v>
      </c>
      <c r="E83" s="85">
        <v>2022</v>
      </c>
      <c r="F83" s="85">
        <v>12</v>
      </c>
    </row>
    <row r="84" spans="1:6" x14ac:dyDescent="0.2">
      <c r="A84" s="59"/>
      <c r="B84" s="117">
        <v>44926</v>
      </c>
      <c r="C84" s="59">
        <f>APOIO!$B$2</f>
        <v>3262</v>
      </c>
      <c r="D84" s="33">
        <f ca="1">IFERROR(__xludf.DUMMYFUNCTION("SUM(
IFERROR(QUERY('Sintética 20222023'!A:I, CONCATENATE(""SELECT I WHERE A="", ""'"",$A84,""'"")),0),
IFERROR(QUERY('Sintética 20222023'!A:I, CONCATENATE(""SELECT H WHERE G="", ""'"",$A84,""'"")),0),
)"),0)</f>
        <v>0</v>
      </c>
      <c r="E84" s="85">
        <v>2022</v>
      </c>
      <c r="F84" s="85">
        <v>12</v>
      </c>
    </row>
    <row r="85" spans="1:6" x14ac:dyDescent="0.2">
      <c r="A85" s="59"/>
      <c r="B85" s="117">
        <v>44926</v>
      </c>
      <c r="C85" s="59">
        <f>APOIO!$B$2</f>
        <v>3262</v>
      </c>
      <c r="D85" s="33">
        <f ca="1">IFERROR(__xludf.DUMMYFUNCTION("SUM(
IFERROR(QUERY('Sintética 20222023'!A:I, CONCATENATE(""SELECT I WHERE A="", ""'"",$A85,""'"")),0),
IFERROR(QUERY('Sintética 20222023'!A:I, CONCATENATE(""SELECT H WHERE G="", ""'"",$A85,""'"")),0),
)"),0)</f>
        <v>0</v>
      </c>
      <c r="E85" s="85">
        <v>2022</v>
      </c>
      <c r="F85" s="85">
        <v>12</v>
      </c>
    </row>
    <row r="86" spans="1:6" x14ac:dyDescent="0.2">
      <c r="A86" s="59"/>
      <c r="B86" s="117">
        <v>44926</v>
      </c>
      <c r="C86" s="59">
        <f>APOIO!$B$2</f>
        <v>3262</v>
      </c>
      <c r="D86" s="33">
        <f ca="1">IFERROR(__xludf.DUMMYFUNCTION("SUM(
IFERROR(QUERY('Sintética 20222023'!A:I, CONCATENATE(""SELECT I WHERE A="", ""'"",$A86,""'"")),0),
IFERROR(QUERY('Sintética 20222023'!A:I, CONCATENATE(""SELECT H WHERE G="", ""'"",$A86,""'"")),0),
)"),0)</f>
        <v>0</v>
      </c>
      <c r="E86" s="85">
        <v>2022</v>
      </c>
      <c r="F86" s="85">
        <v>12</v>
      </c>
    </row>
    <row r="87" spans="1:6" x14ac:dyDescent="0.2">
      <c r="A87" s="59"/>
      <c r="B87" s="117">
        <v>44926</v>
      </c>
      <c r="C87" s="59">
        <f>APOIO!$B$2</f>
        <v>3262</v>
      </c>
      <c r="D87" s="33">
        <f ca="1">IFERROR(__xludf.DUMMYFUNCTION("SUM(
IFERROR(QUERY('Sintética 20222023'!A:I, CONCATENATE(""SELECT I WHERE A="", ""'"",$A87,""'"")),0),
IFERROR(QUERY('Sintética 20222023'!A:I, CONCATENATE(""SELECT H WHERE G="", ""'"",$A87,""'"")),0),
)"),0)</f>
        <v>0</v>
      </c>
      <c r="E87" s="85">
        <v>2022</v>
      </c>
      <c r="F87" s="85">
        <v>12</v>
      </c>
    </row>
    <row r="88" spans="1:6" x14ac:dyDescent="0.2">
      <c r="A88" s="59"/>
      <c r="B88" s="117">
        <v>44926</v>
      </c>
      <c r="C88" s="59">
        <f>APOIO!$B$2</f>
        <v>3262</v>
      </c>
      <c r="D88" s="33">
        <f ca="1">IFERROR(__xludf.DUMMYFUNCTION("SUM(
IFERROR(QUERY('Sintética 20222023'!A:I, CONCATENATE(""SELECT I WHERE A="", ""'"",$A88,""'"")),0),
IFERROR(QUERY('Sintética 20222023'!A:I, CONCATENATE(""SELECT H WHERE G="", ""'"",$A88,""'"")),0),
)"),0)</f>
        <v>0</v>
      </c>
      <c r="E88" s="85">
        <v>2022</v>
      </c>
      <c r="F88" s="85">
        <v>12</v>
      </c>
    </row>
    <row r="89" spans="1:6" x14ac:dyDescent="0.2">
      <c r="A89" s="59"/>
      <c r="B89" s="117">
        <v>44926</v>
      </c>
      <c r="C89" s="59">
        <f>APOIO!$B$2</f>
        <v>3262</v>
      </c>
      <c r="D89" s="33">
        <f ca="1">IFERROR(__xludf.DUMMYFUNCTION("SUM(
IFERROR(QUERY('Sintética 20222023'!A:I, CONCATENATE(""SELECT I WHERE A="", ""'"",$A89,""'"")),0),
IFERROR(QUERY('Sintética 20222023'!A:I, CONCATENATE(""SELECT H WHERE G="", ""'"",$A89,""'"")),0),
)"),0)</f>
        <v>0</v>
      </c>
      <c r="E89" s="85">
        <v>2022</v>
      </c>
      <c r="F89" s="85">
        <v>12</v>
      </c>
    </row>
    <row r="90" spans="1:6" x14ac:dyDescent="0.2">
      <c r="A90" s="59"/>
      <c r="B90" s="117">
        <v>44926</v>
      </c>
      <c r="C90" s="59">
        <f>APOIO!$B$2</f>
        <v>3262</v>
      </c>
      <c r="D90" s="33">
        <f ca="1">IFERROR(__xludf.DUMMYFUNCTION("SUM(
IFERROR(QUERY('Sintética 20222023'!A:I, CONCATENATE(""SELECT I WHERE A="", ""'"",$A90,""'"")),0),
IFERROR(QUERY('Sintética 20222023'!A:I, CONCATENATE(""SELECT H WHERE G="", ""'"",$A90,""'"")),0),
)"),0)</f>
        <v>0</v>
      </c>
      <c r="E90" s="85">
        <v>2022</v>
      </c>
      <c r="F90" s="85">
        <v>12</v>
      </c>
    </row>
    <row r="91" spans="1:6" x14ac:dyDescent="0.2">
      <c r="A91" s="59"/>
      <c r="B91" s="117">
        <v>44926</v>
      </c>
      <c r="C91" s="59">
        <f>APOIO!$B$2</f>
        <v>3262</v>
      </c>
      <c r="D91" s="33">
        <f ca="1">IFERROR(__xludf.DUMMYFUNCTION("SUM(
IFERROR(QUERY('Sintética 20222023'!A:I, CONCATENATE(""SELECT I WHERE A="", ""'"",$A91,""'"")),0),
IFERROR(QUERY('Sintética 20222023'!A:I, CONCATENATE(""SELECT H WHERE G="", ""'"",$A91,""'"")),0),
)"),0)</f>
        <v>0</v>
      </c>
      <c r="E91" s="85">
        <v>2022</v>
      </c>
      <c r="F91" s="85">
        <v>12</v>
      </c>
    </row>
    <row r="92" spans="1:6" x14ac:dyDescent="0.2">
      <c r="A92" s="59"/>
      <c r="B92" s="117">
        <v>44926</v>
      </c>
      <c r="C92" s="59">
        <f>APOIO!$B$2</f>
        <v>3262</v>
      </c>
      <c r="D92" s="33">
        <f ca="1">IFERROR(__xludf.DUMMYFUNCTION("SUM(
IFERROR(QUERY('Sintética 20222023'!A:I, CONCATENATE(""SELECT I WHERE A="", ""'"",$A92,""'"")),0),
IFERROR(QUERY('Sintética 20222023'!A:I, CONCATENATE(""SELECT H WHERE G="", ""'"",$A92,""'"")),0),
)"),0)</f>
        <v>0</v>
      </c>
      <c r="E92" s="85">
        <v>2022</v>
      </c>
      <c r="F92" s="85">
        <v>12</v>
      </c>
    </row>
    <row r="93" spans="1:6" x14ac:dyDescent="0.2">
      <c r="A93" s="59"/>
      <c r="B93" s="117">
        <v>44926</v>
      </c>
      <c r="C93" s="59">
        <f>APOIO!$B$2</f>
        <v>3262</v>
      </c>
      <c r="D93" s="33">
        <f ca="1">IFERROR(__xludf.DUMMYFUNCTION("SUM(
IFERROR(QUERY('Sintética 20222023'!A:I, CONCATENATE(""SELECT I WHERE A="", ""'"",$A93,""'"")),0),
IFERROR(QUERY('Sintética 20222023'!A:I, CONCATENATE(""SELECT H WHERE G="", ""'"",$A93,""'"")),0),
)"),0)</f>
        <v>0</v>
      </c>
      <c r="E93" s="85">
        <v>2022</v>
      </c>
      <c r="F93" s="85">
        <v>12</v>
      </c>
    </row>
    <row r="94" spans="1:6" x14ac:dyDescent="0.2">
      <c r="A94" s="59"/>
      <c r="B94" s="117">
        <v>44926</v>
      </c>
      <c r="C94" s="59">
        <f>APOIO!$B$2</f>
        <v>3262</v>
      </c>
      <c r="D94" s="33">
        <f ca="1">IFERROR(__xludf.DUMMYFUNCTION("SUM(
IFERROR(QUERY('Sintética 20222023'!A:I, CONCATENATE(""SELECT I WHERE A="", ""'"",$A94,""'"")),0),
IFERROR(QUERY('Sintética 20222023'!A:I, CONCATENATE(""SELECT H WHERE G="", ""'"",$A94,""'"")),0),
)"),0)</f>
        <v>0</v>
      </c>
      <c r="E94" s="85">
        <v>2022</v>
      </c>
      <c r="F94" s="85">
        <v>12</v>
      </c>
    </row>
    <row r="95" spans="1:6" x14ac:dyDescent="0.2">
      <c r="A95" s="59"/>
      <c r="B95" s="117">
        <v>44926</v>
      </c>
      <c r="C95" s="59">
        <f>APOIO!$B$2</f>
        <v>3262</v>
      </c>
      <c r="D95" s="33">
        <f ca="1">IFERROR(__xludf.DUMMYFUNCTION("SUM(
IFERROR(QUERY('Sintética 20222023'!A:I, CONCATENATE(""SELECT I WHERE A="", ""'"",$A95,""'"")),0),
IFERROR(QUERY('Sintética 20222023'!A:I, CONCATENATE(""SELECT H WHERE G="", ""'"",$A95,""'"")),0),
)"),0)</f>
        <v>0</v>
      </c>
      <c r="E95" s="85">
        <v>2022</v>
      </c>
      <c r="F95" s="85">
        <v>12</v>
      </c>
    </row>
    <row r="96" spans="1:6" x14ac:dyDescent="0.2">
      <c r="A96" s="59"/>
      <c r="B96" s="117">
        <v>44926</v>
      </c>
      <c r="C96" s="59">
        <f>APOIO!$B$2</f>
        <v>3262</v>
      </c>
      <c r="D96" s="33">
        <f ca="1">IFERROR(__xludf.DUMMYFUNCTION("SUM(
IFERROR(QUERY('Sintética 20222023'!A:I, CONCATENATE(""SELECT I WHERE A="", ""'"",$A96,""'"")),0),
IFERROR(QUERY('Sintética 20222023'!A:I, CONCATENATE(""SELECT H WHERE G="", ""'"",$A96,""'"")),0),
)"),0)</f>
        <v>0</v>
      </c>
      <c r="E96" s="85">
        <v>2022</v>
      </c>
      <c r="F96" s="85">
        <v>12</v>
      </c>
    </row>
    <row r="97" spans="1:6" x14ac:dyDescent="0.2">
      <c r="A97" s="59"/>
      <c r="B97" s="117">
        <v>44926</v>
      </c>
      <c r="C97" s="59">
        <f>APOIO!$B$2</f>
        <v>3262</v>
      </c>
      <c r="D97" s="33">
        <f ca="1">IFERROR(__xludf.DUMMYFUNCTION("SUM(
IFERROR(QUERY('Sintética 20222023'!A:I, CONCATENATE(""SELECT I WHERE A="", ""'"",$A97,""'"")),0),
IFERROR(QUERY('Sintética 20222023'!A:I, CONCATENATE(""SELECT H WHERE G="", ""'"",$A97,""'"")),0),
)"),0)</f>
        <v>0</v>
      </c>
      <c r="E97" s="85">
        <v>2022</v>
      </c>
      <c r="F97" s="85">
        <v>12</v>
      </c>
    </row>
    <row r="98" spans="1:6" x14ac:dyDescent="0.2">
      <c r="A98" s="59"/>
      <c r="B98" s="117">
        <v>44926</v>
      </c>
      <c r="C98" s="59">
        <f>APOIO!$B$2</f>
        <v>3262</v>
      </c>
      <c r="D98" s="33">
        <f ca="1">IFERROR(__xludf.DUMMYFUNCTION("SUM(
IFERROR(QUERY('Sintética 20222023'!A:I, CONCATENATE(""SELECT I WHERE A="", ""'"",$A98,""'"")),0),
IFERROR(QUERY('Sintética 20222023'!A:I, CONCATENATE(""SELECT H WHERE G="", ""'"",$A98,""'"")),0),
)"),0)</f>
        <v>0</v>
      </c>
      <c r="E98" s="85">
        <v>2022</v>
      </c>
      <c r="F98" s="85">
        <v>12</v>
      </c>
    </row>
    <row r="99" spans="1:6" x14ac:dyDescent="0.2">
      <c r="A99" s="59"/>
      <c r="B99" s="117">
        <v>44926</v>
      </c>
      <c r="C99" s="59">
        <f>APOIO!$B$2</f>
        <v>3262</v>
      </c>
      <c r="D99" s="33">
        <f ca="1">IFERROR(__xludf.DUMMYFUNCTION("SUM(
IFERROR(QUERY('Sintética 20222023'!A:I, CONCATENATE(""SELECT I WHERE A="", ""'"",$A99,""'"")),0),
IFERROR(QUERY('Sintética 20222023'!A:I, CONCATENATE(""SELECT H WHERE G="", ""'"",$A99,""'"")),0),
)"),0)</f>
        <v>0</v>
      </c>
      <c r="E99" s="85">
        <v>2022</v>
      </c>
      <c r="F99" s="85">
        <v>12</v>
      </c>
    </row>
    <row r="100" spans="1:6" x14ac:dyDescent="0.2">
      <c r="A100" s="59"/>
      <c r="B100" s="117">
        <v>44926</v>
      </c>
      <c r="C100" s="59">
        <f>APOIO!$B$2</f>
        <v>3262</v>
      </c>
      <c r="D100" s="33">
        <f ca="1">IFERROR(__xludf.DUMMYFUNCTION("SUM(
IFERROR(QUERY('Sintética 20222023'!A:I, CONCATENATE(""SELECT I WHERE A="", ""'"",$A100,""'"")),0),
IFERROR(QUERY('Sintética 20222023'!A:I, CONCATENATE(""SELECT H WHERE G="", ""'"",$A100,""'"")),0),
)"),0)</f>
        <v>0</v>
      </c>
      <c r="E100" s="85">
        <v>2022</v>
      </c>
      <c r="F100" s="85">
        <v>12</v>
      </c>
    </row>
    <row r="101" spans="1:6" x14ac:dyDescent="0.2">
      <c r="A101" s="59"/>
      <c r="B101" s="117">
        <v>44926</v>
      </c>
      <c r="C101" s="59">
        <f>APOIO!$B$2</f>
        <v>3262</v>
      </c>
      <c r="D101" s="33">
        <f ca="1">IFERROR(__xludf.DUMMYFUNCTION("SUM(
IFERROR(QUERY('Sintética 20222023'!A:I, CONCATENATE(""SELECT I WHERE A="", ""'"",$A101,""'"")),0),
IFERROR(QUERY('Sintética 20222023'!A:I, CONCATENATE(""SELECT H WHERE G="", ""'"",$A101,""'"")),0),
)"),0)</f>
        <v>0</v>
      </c>
      <c r="E101" s="85">
        <v>2022</v>
      </c>
      <c r="F101" s="85">
        <v>12</v>
      </c>
    </row>
    <row r="102" spans="1:6" x14ac:dyDescent="0.2">
      <c r="A102" s="59"/>
      <c r="B102" s="117">
        <v>44926</v>
      </c>
      <c r="C102" s="59">
        <f>APOIO!$B$2</f>
        <v>3262</v>
      </c>
      <c r="D102" s="33">
        <f ca="1">IFERROR(__xludf.DUMMYFUNCTION("SUM(
IFERROR(QUERY('Sintética 20222023'!A:I, CONCATENATE(""SELECT I WHERE A="", ""'"",$A102,""'"")),0),
IFERROR(QUERY('Sintética 20222023'!A:I, CONCATENATE(""SELECT H WHERE G="", ""'"",$A102,""'"")),0),
)"),0)</f>
        <v>0</v>
      </c>
      <c r="E102" s="85">
        <v>2022</v>
      </c>
      <c r="F102" s="85">
        <v>12</v>
      </c>
    </row>
    <row r="103" spans="1:6" x14ac:dyDescent="0.2">
      <c r="A103" s="59"/>
      <c r="B103" s="117">
        <v>44926</v>
      </c>
      <c r="C103" s="59">
        <f>APOIO!$B$2</f>
        <v>3262</v>
      </c>
      <c r="D103" s="33">
        <f ca="1">IFERROR(__xludf.DUMMYFUNCTION("SUM(
IFERROR(QUERY('Sintética 20222023'!A:I, CONCATENATE(""SELECT I WHERE A="", ""'"",$A103,""'"")),0),
IFERROR(QUERY('Sintética 20222023'!A:I, CONCATENATE(""SELECT H WHERE G="", ""'"",$A103,""'"")),0),
)"),0)</f>
        <v>0</v>
      </c>
      <c r="E103" s="85">
        <v>2022</v>
      </c>
      <c r="F103" s="85">
        <v>12</v>
      </c>
    </row>
    <row r="104" spans="1:6" x14ac:dyDescent="0.2">
      <c r="A104" s="59"/>
      <c r="B104" s="117">
        <v>44926</v>
      </c>
      <c r="C104" s="59">
        <f>APOIO!$B$2</f>
        <v>3262</v>
      </c>
      <c r="D104" s="33">
        <f ca="1">IFERROR(__xludf.DUMMYFUNCTION("SUM(
IFERROR(QUERY('Sintética 20222023'!A:I, CONCATENATE(""SELECT I WHERE A="", ""'"",$A104,""'"")),0),
IFERROR(QUERY('Sintética 20222023'!A:I, CONCATENATE(""SELECT H WHERE G="", ""'"",$A104,""'"")),0),
)"),0)</f>
        <v>0</v>
      </c>
      <c r="E104" s="85">
        <v>2022</v>
      </c>
      <c r="F104" s="85">
        <v>12</v>
      </c>
    </row>
    <row r="105" spans="1:6" x14ac:dyDescent="0.2">
      <c r="A105" s="59"/>
      <c r="B105" s="117">
        <v>44926</v>
      </c>
      <c r="C105" s="59">
        <f>APOIO!$B$2</f>
        <v>3262</v>
      </c>
      <c r="D105" s="33">
        <f ca="1">IFERROR(__xludf.DUMMYFUNCTION("SUM(
IFERROR(QUERY('Sintética 20222023'!A:I, CONCATENATE(""SELECT I WHERE A="", ""'"",$A105,""'"")),0),
IFERROR(QUERY('Sintética 20222023'!A:I, CONCATENATE(""SELECT H WHERE G="", ""'"",$A105,""'"")),0),
)"),0)</f>
        <v>0</v>
      </c>
      <c r="E105" s="85">
        <v>2022</v>
      </c>
      <c r="F105" s="85">
        <v>12</v>
      </c>
    </row>
    <row r="106" spans="1:6" x14ac:dyDescent="0.2">
      <c r="A106" s="59"/>
      <c r="B106" s="117">
        <v>44926</v>
      </c>
      <c r="C106" s="59">
        <f>APOIO!$B$2</f>
        <v>3262</v>
      </c>
      <c r="D106" s="33">
        <f ca="1">IFERROR(__xludf.DUMMYFUNCTION("SUM(
IFERROR(QUERY('Sintética 20222023'!A:I, CONCATENATE(""SELECT I WHERE A="", ""'"",$A106,""'"")),0),
IFERROR(QUERY('Sintética 20222023'!A:I, CONCATENATE(""SELECT H WHERE G="", ""'"",$A106,""'"")),0),
)"),0)</f>
        <v>0</v>
      </c>
      <c r="E106" s="85">
        <v>2022</v>
      </c>
      <c r="F106" s="85">
        <v>12</v>
      </c>
    </row>
    <row r="107" spans="1:6" x14ac:dyDescent="0.2">
      <c r="A107" s="59"/>
      <c r="B107" s="117">
        <v>44926</v>
      </c>
      <c r="C107" s="59">
        <f>APOIO!$B$2</f>
        <v>3262</v>
      </c>
      <c r="D107" s="33">
        <f ca="1">IFERROR(__xludf.DUMMYFUNCTION("SUM(
IFERROR(QUERY('Sintética 20222023'!A:I, CONCATENATE(""SELECT I WHERE A="", ""'"",$A107,""'"")),0),
IFERROR(QUERY('Sintética 20222023'!A:I, CONCATENATE(""SELECT H WHERE G="", ""'"",$A107,""'"")),0),
)"),0)</f>
        <v>0</v>
      </c>
      <c r="E107" s="85">
        <v>2022</v>
      </c>
      <c r="F107" s="85">
        <v>12</v>
      </c>
    </row>
    <row r="108" spans="1:6" x14ac:dyDescent="0.2">
      <c r="A108" s="59"/>
      <c r="B108" s="117">
        <v>44926</v>
      </c>
      <c r="C108" s="59">
        <f>APOIO!$B$2</f>
        <v>3262</v>
      </c>
      <c r="D108" s="33">
        <f ca="1">IFERROR(__xludf.DUMMYFUNCTION("SUM(
IFERROR(QUERY('Sintética 20222023'!A:I, CONCATENATE(""SELECT I WHERE A="", ""'"",$A108,""'"")),0),
IFERROR(QUERY('Sintética 20222023'!A:I, CONCATENATE(""SELECT H WHERE G="", ""'"",$A108,""'"")),0),
)"),0)</f>
        <v>0</v>
      </c>
      <c r="E108" s="85">
        <v>2022</v>
      </c>
      <c r="F108" s="85">
        <v>12</v>
      </c>
    </row>
    <row r="109" spans="1:6" x14ac:dyDescent="0.2">
      <c r="A109" s="59"/>
      <c r="B109" s="117">
        <v>44926</v>
      </c>
      <c r="C109" s="59">
        <f>APOIO!$B$2</f>
        <v>3262</v>
      </c>
      <c r="D109" s="33">
        <f ca="1">IFERROR(__xludf.DUMMYFUNCTION("SUM(
IFERROR(QUERY('Sintética 20222023'!A:I, CONCATENATE(""SELECT I WHERE A="", ""'"",$A109,""'"")),0),
IFERROR(QUERY('Sintética 20222023'!A:I, CONCATENATE(""SELECT H WHERE G="", ""'"",$A109,""'"")),0),
)"),0)</f>
        <v>0</v>
      </c>
      <c r="E109" s="85">
        <v>2022</v>
      </c>
      <c r="F109" s="85">
        <v>12</v>
      </c>
    </row>
    <row r="110" spans="1:6" x14ac:dyDescent="0.2">
      <c r="A110" s="59"/>
      <c r="B110" s="117">
        <v>44926</v>
      </c>
      <c r="C110" s="59">
        <f>APOIO!$B$2</f>
        <v>3262</v>
      </c>
      <c r="D110" s="33">
        <f ca="1">IFERROR(__xludf.DUMMYFUNCTION("SUM(
IFERROR(QUERY('Sintética 20222023'!A:I, CONCATENATE(""SELECT I WHERE A="", ""'"",$A110,""'"")),0),
IFERROR(QUERY('Sintética 20222023'!A:I, CONCATENATE(""SELECT H WHERE G="", ""'"",$A110,""'"")),0),
)"),0)</f>
        <v>0</v>
      </c>
      <c r="E110" s="85">
        <v>2022</v>
      </c>
      <c r="F110" s="85">
        <v>12</v>
      </c>
    </row>
    <row r="111" spans="1:6" x14ac:dyDescent="0.2">
      <c r="A111" s="59"/>
      <c r="B111" s="117">
        <v>44926</v>
      </c>
      <c r="C111" s="59">
        <f>APOIO!$B$2</f>
        <v>3262</v>
      </c>
      <c r="D111" s="33">
        <f ca="1">IFERROR(__xludf.DUMMYFUNCTION("SUM(
IFERROR(QUERY('Sintética 20222023'!A:I, CONCATENATE(""SELECT I WHERE A="", ""'"",$A111,""'"")),0),
IFERROR(QUERY('Sintética 20222023'!A:I, CONCATENATE(""SELECT H WHERE G="", ""'"",$A111,""'"")),0),
)"),0)</f>
        <v>0</v>
      </c>
      <c r="E111" s="85">
        <v>2022</v>
      </c>
      <c r="F111" s="85">
        <v>12</v>
      </c>
    </row>
    <row r="112" spans="1:6" x14ac:dyDescent="0.2">
      <c r="A112" s="59"/>
      <c r="B112" s="117">
        <v>44926</v>
      </c>
      <c r="C112" s="59">
        <f>APOIO!$B$2</f>
        <v>3262</v>
      </c>
      <c r="D112" s="33">
        <f ca="1">IFERROR(__xludf.DUMMYFUNCTION("SUM(
IFERROR(QUERY('Sintética 20222023'!A:I, CONCATENATE(""SELECT I WHERE A="", ""'"",$A112,""'"")),0),
IFERROR(QUERY('Sintética 20222023'!A:I, CONCATENATE(""SELECT H WHERE G="", ""'"",$A112,""'"")),0),
)"),0)</f>
        <v>0</v>
      </c>
      <c r="E112" s="85">
        <v>2022</v>
      </c>
      <c r="F112" s="85">
        <v>12</v>
      </c>
    </row>
    <row r="113" spans="1:6" x14ac:dyDescent="0.2">
      <c r="A113" s="59"/>
      <c r="B113" s="117">
        <v>44926</v>
      </c>
      <c r="C113" s="59">
        <f>APOIO!$B$2</f>
        <v>3262</v>
      </c>
      <c r="D113" s="33">
        <f ca="1">IFERROR(__xludf.DUMMYFUNCTION("SUM(
IFERROR(QUERY('Sintética 20222023'!A:I, CONCATENATE(""SELECT I WHERE A="", ""'"",$A113,""'"")),0),
IFERROR(QUERY('Sintética 20222023'!A:I, CONCATENATE(""SELECT H WHERE G="", ""'"",$A113,""'"")),0),
)"),0)</f>
        <v>0</v>
      </c>
      <c r="E113" s="85">
        <v>2022</v>
      </c>
      <c r="F113" s="85">
        <v>12</v>
      </c>
    </row>
    <row r="114" spans="1:6" x14ac:dyDescent="0.2">
      <c r="A114" s="59"/>
      <c r="B114" s="117">
        <v>44926</v>
      </c>
      <c r="C114" s="59">
        <f>APOIO!$B$2</f>
        <v>3262</v>
      </c>
      <c r="D114" s="33">
        <f ca="1">IFERROR(__xludf.DUMMYFUNCTION("SUM(
IFERROR(QUERY('Sintética 20222023'!A:I, CONCATENATE(""SELECT I WHERE A="", ""'"",$A114,""'"")),0),
IFERROR(QUERY('Sintética 20222023'!A:I, CONCATENATE(""SELECT H WHERE G="", ""'"",$A114,""'"")),0),
)"),0)</f>
        <v>0</v>
      </c>
      <c r="E114" s="85">
        <v>2022</v>
      </c>
      <c r="F114" s="85">
        <v>12</v>
      </c>
    </row>
    <row r="115" spans="1:6" x14ac:dyDescent="0.2">
      <c r="A115" s="59"/>
      <c r="B115" s="117">
        <v>44926</v>
      </c>
      <c r="C115" s="59">
        <f>APOIO!$B$2</f>
        <v>3262</v>
      </c>
      <c r="D115" s="33">
        <f ca="1">IFERROR(__xludf.DUMMYFUNCTION("SUM(
IFERROR(QUERY('Sintética 20222023'!A:I, CONCATENATE(""SELECT I WHERE A="", ""'"",$A115,""'"")),0),
IFERROR(QUERY('Sintética 20222023'!A:I, CONCATENATE(""SELECT H WHERE G="", ""'"",$A115,""'"")),0),
)"),0)</f>
        <v>0</v>
      </c>
      <c r="E115" s="85">
        <v>2022</v>
      </c>
      <c r="F115" s="85">
        <v>12</v>
      </c>
    </row>
    <row r="116" spans="1:6" x14ac:dyDescent="0.2">
      <c r="A116" s="59"/>
      <c r="B116" s="117">
        <v>44926</v>
      </c>
      <c r="C116" s="59">
        <f>APOIO!$B$2</f>
        <v>3262</v>
      </c>
      <c r="D116" s="33">
        <f ca="1">IFERROR(__xludf.DUMMYFUNCTION("SUM(
IFERROR(QUERY('Sintética 20222023'!A:I, CONCATENATE(""SELECT I WHERE A="", ""'"",$A116,""'"")),0),
IFERROR(QUERY('Sintética 20222023'!A:I, CONCATENATE(""SELECT H WHERE G="", ""'"",$A116,""'"")),0),
)"),0)</f>
        <v>0</v>
      </c>
      <c r="E116" s="85">
        <v>2022</v>
      </c>
      <c r="F116" s="85">
        <v>12</v>
      </c>
    </row>
    <row r="117" spans="1:6" x14ac:dyDescent="0.2">
      <c r="A117" s="59"/>
      <c r="B117" s="117">
        <v>44926</v>
      </c>
      <c r="C117" s="59">
        <f>APOIO!$B$2</f>
        <v>3262</v>
      </c>
      <c r="D117" s="33">
        <f ca="1">IFERROR(__xludf.DUMMYFUNCTION("SUM(
IFERROR(QUERY('Sintética 20222023'!A:I, CONCATENATE(""SELECT I WHERE A="", ""'"",$A117,""'"")),0),
IFERROR(QUERY('Sintética 20222023'!A:I, CONCATENATE(""SELECT H WHERE G="", ""'"",$A117,""'"")),0),
)"),0)</f>
        <v>0</v>
      </c>
      <c r="E117" s="85">
        <v>2022</v>
      </c>
      <c r="F117" s="85">
        <v>12</v>
      </c>
    </row>
    <row r="118" spans="1:6" x14ac:dyDescent="0.2">
      <c r="A118" s="59"/>
      <c r="B118" s="117">
        <v>44926</v>
      </c>
      <c r="C118" s="59">
        <f>APOIO!$B$2</f>
        <v>3262</v>
      </c>
      <c r="D118" s="33">
        <f ca="1">IFERROR(__xludf.DUMMYFUNCTION("SUM(
IFERROR(QUERY('Sintética 20222023'!A:I, CONCATENATE(""SELECT I WHERE A="", ""'"",$A118,""'"")),0),
IFERROR(QUERY('Sintética 20222023'!A:I, CONCATENATE(""SELECT H WHERE G="", ""'"",$A118,""'"")),0),
)"),0)</f>
        <v>0</v>
      </c>
      <c r="E118" s="85">
        <v>2022</v>
      </c>
      <c r="F118" s="85">
        <v>12</v>
      </c>
    </row>
    <row r="119" spans="1:6" x14ac:dyDescent="0.2">
      <c r="A119" s="59"/>
      <c r="B119" s="117">
        <v>44926</v>
      </c>
      <c r="C119" s="59">
        <f>APOIO!$B$2</f>
        <v>3262</v>
      </c>
      <c r="D119" s="33">
        <f ca="1">IFERROR(__xludf.DUMMYFUNCTION("SUM(
IFERROR(QUERY('Sintética 20222023'!A:I, CONCATENATE(""SELECT I WHERE A="", ""'"",$A119,""'"")),0),
IFERROR(QUERY('Sintética 20222023'!A:I, CONCATENATE(""SELECT H WHERE G="", ""'"",$A119,""'"")),0),
)"),0)</f>
        <v>0</v>
      </c>
      <c r="E119" s="85">
        <v>2022</v>
      </c>
      <c r="F119" s="85">
        <v>12</v>
      </c>
    </row>
    <row r="120" spans="1:6" x14ac:dyDescent="0.2">
      <c r="A120" s="59"/>
      <c r="B120" s="117">
        <v>44926</v>
      </c>
      <c r="C120" s="59">
        <f>APOIO!$B$2</f>
        <v>3262</v>
      </c>
      <c r="D120" s="33">
        <f ca="1">IFERROR(__xludf.DUMMYFUNCTION("SUM(
IFERROR(QUERY('Sintética 20222023'!A:I, CONCATENATE(""SELECT I WHERE A="", ""'"",$A120,""'"")),0),
IFERROR(QUERY('Sintética 20222023'!A:I, CONCATENATE(""SELECT H WHERE G="", ""'"",$A120,""'"")),0),
)"),0)</f>
        <v>0</v>
      </c>
      <c r="E120" s="85">
        <v>2022</v>
      </c>
      <c r="F120" s="85">
        <v>12</v>
      </c>
    </row>
    <row r="121" spans="1:6" x14ac:dyDescent="0.2">
      <c r="A121" s="59"/>
      <c r="B121" s="117">
        <v>44926</v>
      </c>
      <c r="C121" s="59">
        <f>APOIO!$B$2</f>
        <v>3262</v>
      </c>
      <c r="D121" s="33">
        <f ca="1">IFERROR(__xludf.DUMMYFUNCTION("SUM(
IFERROR(QUERY('Sintética 20222023'!A:I, CONCATENATE(""SELECT I WHERE A="", ""'"",$A121,""'"")),0),
IFERROR(QUERY('Sintética 20222023'!A:I, CONCATENATE(""SELECT H WHERE G="", ""'"",$A121,""'"")),0),
)"),0)</f>
        <v>0</v>
      </c>
      <c r="E121" s="85">
        <v>2022</v>
      </c>
      <c r="F121" s="85">
        <v>12</v>
      </c>
    </row>
    <row r="122" spans="1:6" x14ac:dyDescent="0.2">
      <c r="A122" s="59"/>
      <c r="B122" s="117">
        <v>44926</v>
      </c>
      <c r="C122" s="59">
        <f>APOIO!$B$2</f>
        <v>3262</v>
      </c>
      <c r="D122" s="33">
        <f ca="1">IFERROR(__xludf.DUMMYFUNCTION("SUM(
IFERROR(QUERY('Sintética 20222023'!A:I, CONCATENATE(""SELECT I WHERE A="", ""'"",$A122,""'"")),0),
IFERROR(QUERY('Sintética 20222023'!A:I, CONCATENATE(""SELECT H WHERE G="", ""'"",$A122,""'"")),0),
)"),0)</f>
        <v>0</v>
      </c>
      <c r="E122" s="85">
        <v>2022</v>
      </c>
      <c r="F122" s="85">
        <v>12</v>
      </c>
    </row>
    <row r="123" spans="1:6" x14ac:dyDescent="0.2">
      <c r="A123" s="59"/>
      <c r="B123" s="117">
        <v>44926</v>
      </c>
      <c r="C123" s="59">
        <f>APOIO!$B$2</f>
        <v>3262</v>
      </c>
      <c r="D123" s="33">
        <f ca="1">IFERROR(__xludf.DUMMYFUNCTION("SUM(
IFERROR(QUERY('Sintética 20222023'!A:I, CONCATENATE(""SELECT I WHERE A="", ""'"",$A123,""'"")),0),
IFERROR(QUERY('Sintética 20222023'!A:I, CONCATENATE(""SELECT H WHERE G="", ""'"",$A123,""'"")),0),
)"),0)</f>
        <v>0</v>
      </c>
      <c r="E123" s="85">
        <v>2022</v>
      </c>
      <c r="F123" s="85">
        <v>12</v>
      </c>
    </row>
    <row r="124" spans="1:6" x14ac:dyDescent="0.2">
      <c r="A124" s="59"/>
      <c r="B124" s="117">
        <v>44926</v>
      </c>
      <c r="C124" s="59">
        <f>APOIO!$B$2</f>
        <v>3262</v>
      </c>
      <c r="D124" s="33">
        <f ca="1">IFERROR(__xludf.DUMMYFUNCTION("SUM(
IFERROR(QUERY('Sintética 20222023'!A:I, CONCATENATE(""SELECT I WHERE A="", ""'"",$A124,""'"")),0),
IFERROR(QUERY('Sintética 20222023'!A:I, CONCATENATE(""SELECT H WHERE G="", ""'"",$A124,""'"")),0),
)"),0)</f>
        <v>0</v>
      </c>
      <c r="E124" s="85">
        <v>2022</v>
      </c>
      <c r="F124" s="85">
        <v>12</v>
      </c>
    </row>
    <row r="125" spans="1:6" x14ac:dyDescent="0.2">
      <c r="A125" s="59"/>
      <c r="B125" s="117">
        <v>44926</v>
      </c>
      <c r="C125" s="59">
        <f>APOIO!$B$2</f>
        <v>3262</v>
      </c>
      <c r="D125" s="33">
        <f ca="1">IFERROR(__xludf.DUMMYFUNCTION("SUM(
IFERROR(QUERY('Sintética 20222023'!A:I, CONCATENATE(""SELECT I WHERE A="", ""'"",$A125,""'"")),0),
IFERROR(QUERY('Sintética 20222023'!A:I, CONCATENATE(""SELECT H WHERE G="", ""'"",$A125,""'"")),0),
)"),0)</f>
        <v>0</v>
      </c>
      <c r="E125" s="85">
        <v>2022</v>
      </c>
      <c r="F125" s="85">
        <v>12</v>
      </c>
    </row>
    <row r="126" spans="1:6" x14ac:dyDescent="0.2">
      <c r="A126" s="59"/>
      <c r="B126" s="117">
        <v>44926</v>
      </c>
      <c r="C126" s="59">
        <f>APOIO!$B$2</f>
        <v>3262</v>
      </c>
      <c r="D126" s="33">
        <f ca="1">IFERROR(__xludf.DUMMYFUNCTION("SUM(
IFERROR(QUERY('Sintética 20222023'!A:I, CONCATENATE(""SELECT I WHERE A="", ""'"",$A126,""'"")),0),
IFERROR(QUERY('Sintética 20222023'!A:I, CONCATENATE(""SELECT H WHERE G="", ""'"",$A126,""'"")),0),
)"),0)</f>
        <v>0</v>
      </c>
      <c r="E126" s="85">
        <v>2022</v>
      </c>
      <c r="F126" s="85">
        <v>12</v>
      </c>
    </row>
    <row r="127" spans="1:6" x14ac:dyDescent="0.2">
      <c r="A127" s="59"/>
      <c r="B127" s="117">
        <v>44926</v>
      </c>
      <c r="C127" s="59">
        <f>APOIO!$B$2</f>
        <v>3262</v>
      </c>
      <c r="D127" s="33">
        <f ca="1">IFERROR(__xludf.DUMMYFUNCTION("SUM(
IFERROR(QUERY('Sintética 20222023'!A:I, CONCATENATE(""SELECT I WHERE A="", ""'"",$A127,""'"")),0),
IFERROR(QUERY('Sintética 20222023'!A:I, CONCATENATE(""SELECT H WHERE G="", ""'"",$A127,""'"")),0),
)"),0)</f>
        <v>0</v>
      </c>
      <c r="E127" s="85">
        <v>2022</v>
      </c>
      <c r="F127" s="85">
        <v>12</v>
      </c>
    </row>
    <row r="128" spans="1:6" x14ac:dyDescent="0.2">
      <c r="A128" s="59"/>
      <c r="B128" s="117">
        <v>44926</v>
      </c>
      <c r="C128" s="59">
        <f>APOIO!$B$2</f>
        <v>3262</v>
      </c>
      <c r="D128" s="33">
        <f ca="1">IFERROR(__xludf.DUMMYFUNCTION("SUM(
IFERROR(QUERY('Sintética 20222023'!A:I, CONCATENATE(""SELECT I WHERE A="", ""'"",$A128,""'"")),0),
IFERROR(QUERY('Sintética 20222023'!A:I, CONCATENATE(""SELECT H WHERE G="", ""'"",$A128,""'"")),0),
)"),0)</f>
        <v>0</v>
      </c>
      <c r="E128" s="85">
        <v>2022</v>
      </c>
      <c r="F128" s="85">
        <v>12</v>
      </c>
    </row>
    <row r="129" spans="1:6" x14ac:dyDescent="0.2">
      <c r="A129" s="92"/>
      <c r="B129" s="117">
        <v>44926</v>
      </c>
      <c r="C129" s="59">
        <f>APOIO!$B$2</f>
        <v>3262</v>
      </c>
      <c r="D129" s="33">
        <f ca="1">IFERROR(__xludf.DUMMYFUNCTION("SUM(
IFERROR(QUERY('Sintética 20222023'!A:I, CONCATENATE(""SELECT I WHERE A="", ""'"",$A129,""'"")),0),
IFERROR(QUERY('Sintética 20222023'!A:I, CONCATENATE(""SELECT H WHERE G="", ""'"",$A129,""'"")),0),
)"),0)</f>
        <v>0</v>
      </c>
      <c r="E129" s="85">
        <v>2022</v>
      </c>
      <c r="F129" s="85">
        <v>12</v>
      </c>
    </row>
  </sheetData>
  <autoFilter ref="A1:F126" xr:uid="{00000000-0009-0000-0000-000007000000}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00"/>
    <outlinePr summaryBelow="0" summaryRight="0"/>
  </sheetPr>
  <dimension ref="A1:G15"/>
  <sheetViews>
    <sheetView workbookViewId="0"/>
  </sheetViews>
  <sheetFormatPr defaultColWidth="12.5703125" defaultRowHeight="15.75" customHeight="1" x14ac:dyDescent="0.2"/>
  <cols>
    <col min="1" max="1" width="11.5703125" customWidth="1"/>
    <col min="2" max="2" width="11.28515625" customWidth="1"/>
    <col min="3" max="3" width="16.7109375" customWidth="1"/>
    <col min="4" max="4" width="33.42578125" customWidth="1"/>
    <col min="5" max="5" width="17.7109375" customWidth="1"/>
    <col min="6" max="6" width="14.28515625" customWidth="1"/>
    <col min="7" max="7" width="13.42578125" customWidth="1"/>
  </cols>
  <sheetData>
    <row r="1" spans="1:7" ht="30" customHeight="1" x14ac:dyDescent="0.2">
      <c r="A1" s="16" t="str">
        <f ca="1">IFERROR(__xludf.DUMMYFUNCTION("QUERY(IMPORTRANGE(APOIO!A1,""Sintética2022!A1:G250""), CONCATENATE(""SELECT * WHERE Col1="", ""'"",APOIO!A2,""'""))"),"Órgão Público Inventariante")</f>
        <v>Órgão Público Inventariante</v>
      </c>
      <c r="B1" s="16" t="str">
        <f ca="1">IFERROR(__xludf.DUMMYFUNCTION("""COMPUTED_VALUE"""),"Código do Órgão Inventariante")</f>
        <v>Código do Órgão Inventariante</v>
      </c>
      <c r="C1" s="16" t="str">
        <f ca="1">IFERROR(__xludf.DUMMYFUNCTION("""COMPUTED_VALUE"""),"Código Patrimonial")</f>
        <v>Código Patrimonial</v>
      </c>
      <c r="D1" s="16" t="str">
        <f ca="1">IFERROR(__xludf.DUMMYFUNCTION("""COMPUTED_VALUE"""),"Descrição do Código Patrimonial")</f>
        <v>Descrição do Código Patrimonial</v>
      </c>
      <c r="E1" s="16" t="str">
        <f ca="1">IFERROR(__xludf.DUMMYFUNCTION("""COMPUTED_VALUE"""),"Código Patrimonial de Depreciação")</f>
        <v>Código Patrimonial de Depreciação</v>
      </c>
      <c r="F1" s="16" t="str">
        <f ca="1">IFERROR(__xludf.DUMMYFUNCTION("""COMPUTED_VALUE"""),"Valor Bruto Contábil 2022")</f>
        <v>Valor Bruto Contábil 2022</v>
      </c>
      <c r="G1" s="16" t="str">
        <f ca="1">IFERROR(__xludf.DUMMYFUNCTION("""COMPUTED_VALUE"""),"Depreciação acumulada")</f>
        <v>Depreciação acumulada</v>
      </c>
    </row>
    <row r="2" spans="1:7" ht="25.5" x14ac:dyDescent="0.2">
      <c r="A2" s="118" t="str">
        <f ca="1">IFERROR(__xludf.DUMMYFUNCTION("""COMPUTED_VALUE"""),"EMATER")</f>
        <v>EMATER</v>
      </c>
      <c r="B2" s="118" t="str">
        <f ca="1">IFERROR(__xludf.DUMMYFUNCTION("""COMPUTED_VALUE"""),"3262")</f>
        <v>3262</v>
      </c>
      <c r="C2" s="118" t="str">
        <f ca="1">IFERROR(__xludf.DUMMYFUNCTION("""COMPUTED_VALUE"""),"1.2.3.2.1.01.02.01.00")</f>
        <v>1.2.3.2.1.01.02.01.00</v>
      </c>
      <c r="D2" s="119" t="str">
        <f ca="1">IFERROR(__xludf.DUMMYFUNCTION("""COMPUTED_VALUE"""),"SALAS E ESCRITÓRIOS - USO ESPECIAL")</f>
        <v>SALAS E ESCRITÓRIOS - USO ESPECIAL</v>
      </c>
      <c r="E2" s="67" t="str">
        <f ca="1">IFERROR(__xludf.DUMMYFUNCTION("""COMPUTED_VALUE"""),"1.2.3.8.1.02.01.02.01")</f>
        <v>1.2.3.8.1.02.01.02.01</v>
      </c>
      <c r="F2" s="120">
        <f ca="1">IFERROR(__xludf.DUMMYFUNCTION("""COMPUTED_VALUE"""),38488874.39)</f>
        <v>38488874.390000001</v>
      </c>
      <c r="G2" s="120">
        <f ca="1">IFERROR(__xludf.DUMMYFUNCTION("""COMPUTED_VALUE"""),1231643.97)</f>
        <v>1231643.97</v>
      </c>
    </row>
    <row r="3" spans="1:7" ht="12.75" x14ac:dyDescent="0.2">
      <c r="A3" s="118" t="str">
        <f ca="1">IFERROR(__xludf.DUMMYFUNCTION("""COMPUTED_VALUE"""),"EMATER")</f>
        <v>EMATER</v>
      </c>
      <c r="B3" s="118" t="str">
        <f ca="1">IFERROR(__xludf.DUMMYFUNCTION("""COMPUTED_VALUE"""),"3262")</f>
        <v>3262</v>
      </c>
      <c r="C3" s="118" t="str">
        <f ca="1">IFERROR(__xludf.DUMMYFUNCTION("""COMPUTED_VALUE"""),"1.2.3.2.1.01.04.01.00")</f>
        <v>1.2.3.2.1.01.04.01.00</v>
      </c>
      <c r="D3" s="119" t="str">
        <f ca="1">IFERROR(__xludf.DUMMYFUNCTION("""COMPUTED_VALUE"""),"TERRENOS - USO ESPECIAL")</f>
        <v>TERRENOS - USO ESPECIAL</v>
      </c>
      <c r="E3" s="67" t="str">
        <f ca="1">IFERROR(__xludf.DUMMYFUNCTION("""COMPUTED_VALUE"""),"1.2.3.8.1.02.01.04.01")</f>
        <v>1.2.3.8.1.02.01.04.01</v>
      </c>
      <c r="F3" s="120">
        <f ca="1">IFERROR(__xludf.DUMMYFUNCTION("""COMPUTED_VALUE"""),21009.8)</f>
        <v>21009.8</v>
      </c>
      <c r="G3" s="120">
        <f ca="1">IFERROR(__xludf.DUMMYFUNCTION("""COMPUTED_VALUE"""),0)</f>
        <v>0</v>
      </c>
    </row>
    <row r="4" spans="1:7" ht="12.75" x14ac:dyDescent="0.2">
      <c r="A4" s="118" t="str">
        <f ca="1">IFERROR(__xludf.DUMMYFUNCTION("""COMPUTED_VALUE"""),"EMATER")</f>
        <v>EMATER</v>
      </c>
      <c r="B4" s="118" t="str">
        <f ca="1">IFERROR(__xludf.DUMMYFUNCTION("""COMPUTED_VALUE"""),"3262")</f>
        <v>3262</v>
      </c>
      <c r="C4" s="118" t="str">
        <f ca="1">IFERROR(__xludf.DUMMYFUNCTION("""COMPUTED_VALUE"""),"1.2.3.2.1.01.10.01.00")</f>
        <v>1.2.3.2.1.01.10.01.00</v>
      </c>
      <c r="D4" s="119" t="str">
        <f ca="1">IFERROR(__xludf.DUMMYFUNCTION("""COMPUTED_VALUE"""),"FAZENDAS - USO ESPECIAL")</f>
        <v>FAZENDAS - USO ESPECIAL</v>
      </c>
      <c r="E4" s="67" t="str">
        <f ca="1">IFERROR(__xludf.DUMMYFUNCTION("""COMPUTED_VALUE"""),"1.2.3.8.1.02.01.10.01")</f>
        <v>1.2.3.8.1.02.01.10.01</v>
      </c>
      <c r="F4" s="120">
        <f ca="1">IFERROR(__xludf.DUMMYFUNCTION("""COMPUTED_VALUE"""),10169715.27)</f>
        <v>10169715.27</v>
      </c>
      <c r="G4" s="120">
        <f ca="1">IFERROR(__xludf.DUMMYFUNCTION("""COMPUTED_VALUE"""),0)</f>
        <v>0</v>
      </c>
    </row>
    <row r="5" spans="1:7" ht="12.75" x14ac:dyDescent="0.2">
      <c r="A5" s="118" t="str">
        <f ca="1">IFERROR(__xludf.DUMMYFUNCTION("""COMPUTED_VALUE"""),"EMATER")</f>
        <v>EMATER</v>
      </c>
      <c r="B5" s="118" t="str">
        <f ca="1">IFERROR(__xludf.DUMMYFUNCTION("""COMPUTED_VALUE"""),"3262")</f>
        <v>3262</v>
      </c>
      <c r="C5" s="118" t="str">
        <f ca="1">IFERROR(__xludf.DUMMYFUNCTION("""COMPUTED_VALUE"""),"1.2.3.2.1.06.01.01.00")</f>
        <v>1.2.3.2.1.06.01.01.00</v>
      </c>
      <c r="D5" s="119" t="str">
        <f ca="1">IFERROR(__xludf.DUMMYFUNCTION("""COMPUTED_VALUE"""),"OBRAS EM ANDAMENTO")</f>
        <v>OBRAS EM ANDAMENTO</v>
      </c>
      <c r="E5" s="67"/>
      <c r="F5" s="120">
        <f ca="1">IFERROR(__xludf.DUMMYFUNCTION("""COMPUTED_VALUE"""),0)</f>
        <v>0</v>
      </c>
      <c r="G5" s="120">
        <f ca="1">IFERROR(__xludf.DUMMYFUNCTION("""COMPUTED_VALUE"""),0)</f>
        <v>0</v>
      </c>
    </row>
    <row r="6" spans="1:7" ht="25.5" x14ac:dyDescent="0.2">
      <c r="A6" s="118" t="str">
        <f ca="1">IFERROR(__xludf.DUMMYFUNCTION("""COMPUTED_VALUE"""),"EMATER")</f>
        <v>EMATER</v>
      </c>
      <c r="B6" s="118" t="str">
        <f ca="1">IFERROR(__xludf.DUMMYFUNCTION("""COMPUTED_VALUE"""),"3262")</f>
        <v>3262</v>
      </c>
      <c r="C6" s="118" t="str">
        <f ca="1">IFERROR(__xludf.DUMMYFUNCTION("""COMPUTED_VALUE"""),"1.2.3.2.1.06.01.02.00")</f>
        <v>1.2.3.2.1.06.01.02.00</v>
      </c>
      <c r="D6" s="119" t="str">
        <f ca="1">IFERROR(__xludf.DUMMYFUNCTION("""COMPUTED_VALUE"""),"ESTUDOS E PROJETOS DE EDIFICAÇÕES - SCP")</f>
        <v>ESTUDOS E PROJETOS DE EDIFICAÇÕES - SCP</v>
      </c>
      <c r="E6" s="67"/>
      <c r="F6" s="120">
        <f ca="1">IFERROR(__xludf.DUMMYFUNCTION("""COMPUTED_VALUE"""),0)</f>
        <v>0</v>
      </c>
      <c r="G6" s="120">
        <f ca="1">IFERROR(__xludf.DUMMYFUNCTION("""COMPUTED_VALUE"""),0)</f>
        <v>0</v>
      </c>
    </row>
    <row r="7" spans="1:7" ht="12.75" x14ac:dyDescent="0.2">
      <c r="A7" s="118" t="str">
        <f ca="1">IFERROR(__xludf.DUMMYFUNCTION("""COMPUTED_VALUE"""),"EMATER")</f>
        <v>EMATER</v>
      </c>
      <c r="B7" s="118" t="str">
        <f ca="1">IFERROR(__xludf.DUMMYFUNCTION("""COMPUTED_VALUE"""),"3262")</f>
        <v>3262</v>
      </c>
      <c r="C7" s="118" t="str">
        <f ca="1">IFERROR(__xludf.DUMMYFUNCTION("""COMPUTED_VALUE"""),"1.2.3.2.1.99.99.01.00")</f>
        <v>1.2.3.2.1.99.99.01.00</v>
      </c>
      <c r="D7" s="119" t="str">
        <f ca="1">IFERROR(__xludf.DUMMYFUNCTION("""COMPUTED_VALUE"""),"OUTRAS OBRAS EM INSTALAÇÕES")</f>
        <v>OUTRAS OBRAS EM INSTALAÇÕES</v>
      </c>
      <c r="E7" s="67"/>
      <c r="F7" s="120">
        <f ca="1">IFERROR(__xludf.DUMMYFUNCTION("""COMPUTED_VALUE"""),26237374.55)</f>
        <v>26237374.550000001</v>
      </c>
      <c r="G7" s="120">
        <f ca="1">IFERROR(__xludf.DUMMYFUNCTION("""COMPUTED_VALUE"""),0)</f>
        <v>0</v>
      </c>
    </row>
    <row r="8" spans="1:7" ht="25.5" x14ac:dyDescent="0.2">
      <c r="A8" s="118" t="str">
        <f ca="1">IFERROR(__xludf.DUMMYFUNCTION("""COMPUTED_VALUE"""),"EMATER")</f>
        <v>EMATER</v>
      </c>
      <c r="B8" s="118" t="str">
        <f ca="1">IFERROR(__xludf.DUMMYFUNCTION("""COMPUTED_VALUE"""),"3262")</f>
        <v>3262</v>
      </c>
      <c r="C8" s="118" t="str">
        <f ca="1">IFERROR(__xludf.DUMMYFUNCTION("""COMPUTED_VALUE"""),"1.2.3.2.1.01.02.01.00")</f>
        <v>1.2.3.2.1.01.02.01.00</v>
      </c>
      <c r="D8" s="119" t="str">
        <f ca="1">IFERROR(__xludf.DUMMYFUNCTION("""COMPUTED_VALUE"""),"SALAS E ESCRITÓRIOS - USO ESPECIAL")</f>
        <v>SALAS E ESCRITÓRIOS - USO ESPECIAL</v>
      </c>
      <c r="E8" s="67" t="str">
        <f ca="1">IFERROR(__xludf.DUMMYFUNCTION("""COMPUTED_VALUE"""),"1.2.3.8.1.02.01.02.01")</f>
        <v>1.2.3.8.1.02.01.02.01</v>
      </c>
      <c r="F8" s="120">
        <f ca="1">IFERROR(__xludf.DUMMYFUNCTION("""COMPUTED_VALUE"""),17886.02)</f>
        <v>17886.02</v>
      </c>
      <c r="G8" s="120">
        <f ca="1">IFERROR(__xludf.DUMMYFUNCTION("""COMPUTED_VALUE"""),572.35)</f>
        <v>572.35</v>
      </c>
    </row>
    <row r="9" spans="1:7" ht="25.5" x14ac:dyDescent="0.2">
      <c r="A9" s="118" t="str">
        <f ca="1">IFERROR(__xludf.DUMMYFUNCTION("""COMPUTED_VALUE"""),"EMATER")</f>
        <v>EMATER</v>
      </c>
      <c r="B9" s="118" t="str">
        <f ca="1">IFERROR(__xludf.DUMMYFUNCTION("""COMPUTED_VALUE"""),"3262")</f>
        <v>3262</v>
      </c>
      <c r="C9" s="118" t="str">
        <f ca="1">IFERROR(__xludf.DUMMYFUNCTION("""COMPUTED_VALUE"""),"1.2.3.2.1.01.98.10.00")</f>
        <v>1.2.3.2.1.01.98.10.00</v>
      </c>
      <c r="D9" s="119" t="str">
        <f ca="1">IFERROR(__xludf.DUMMYFUNCTION("""COMPUTED_VALUE"""),"OUTROS BENS IMÓVEIS - USO ESPECIAL")</f>
        <v>OUTROS BENS IMÓVEIS - USO ESPECIAL</v>
      </c>
      <c r="E9" s="67" t="str">
        <f ca="1">IFERROR(__xludf.DUMMYFUNCTION("""COMPUTED_VALUE"""),"1.2.3.8.1.02.01.98.10")</f>
        <v>1.2.3.8.1.02.01.98.10</v>
      </c>
      <c r="F9" s="120">
        <f ca="1">IFERROR(__xludf.DUMMYFUNCTION("""COMPUTED_VALUE"""),984358.73)</f>
        <v>984358.73</v>
      </c>
      <c r="G9" s="120">
        <f ca="1">IFERROR(__xludf.DUMMYFUNCTION("""COMPUTED_VALUE"""),20569.4)</f>
        <v>20569.400000000001</v>
      </c>
    </row>
    <row r="10" spans="1:7" ht="12.75" x14ac:dyDescent="0.2">
      <c r="A10" s="121"/>
      <c r="B10" s="121"/>
      <c r="C10" s="121"/>
      <c r="D10" s="122"/>
    </row>
    <row r="11" spans="1:7" ht="12.75" x14ac:dyDescent="0.2">
      <c r="A11" s="121"/>
      <c r="B11" s="121"/>
      <c r="C11" s="121"/>
      <c r="D11" s="122"/>
    </row>
    <row r="12" spans="1:7" ht="12.75" x14ac:dyDescent="0.2">
      <c r="A12" s="121"/>
      <c r="B12" s="121"/>
      <c r="C12" s="121"/>
      <c r="D12" s="122"/>
    </row>
    <row r="13" spans="1:7" ht="12.75" x14ac:dyDescent="0.2">
      <c r="A13" s="121"/>
      <c r="B13" s="121"/>
      <c r="C13" s="121"/>
      <c r="D13" s="122"/>
    </row>
    <row r="14" spans="1:7" ht="12.75" x14ac:dyDescent="0.2">
      <c r="A14" s="121"/>
      <c r="B14" s="121"/>
      <c r="C14" s="121"/>
      <c r="D14" s="122"/>
    </row>
    <row r="15" spans="1:7" ht="12.75" x14ac:dyDescent="0.2">
      <c r="A15" s="121"/>
      <c r="B15" s="121"/>
      <c r="C15" s="121"/>
      <c r="D15" s="12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Analítica - Imóveis Estaduais</vt:lpstr>
      <vt:lpstr>Analítica - Imóveis recebidos e</vt:lpstr>
      <vt:lpstr>Analítica - Imóveis Próprios</vt:lpstr>
      <vt:lpstr>Analítica - Imóveis Próprios Ce</vt:lpstr>
      <vt:lpstr>Obras em Andamento</vt:lpstr>
      <vt:lpstr>Sintética 20222023</vt:lpstr>
      <vt:lpstr>APOIO</vt:lpstr>
      <vt:lpstr>Arquivo para SCG</vt:lpstr>
      <vt:lpstr>Sintética 2022</vt:lpstr>
      <vt:lpstr>MOVIMENTAÇÃO DE IMÓVEIS - CONTA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Luiza Do Carmo</dc:creator>
  <cp:lastModifiedBy>Giovanna Luiza Do Carmo</cp:lastModifiedBy>
  <dcterms:created xsi:type="dcterms:W3CDTF">2023-09-29T13:34:28Z</dcterms:created>
  <dcterms:modified xsi:type="dcterms:W3CDTF">2023-09-29T13:34:28Z</dcterms:modified>
</cp:coreProperties>
</file>